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15360" windowHeight="8340" tabRatio="990" activeTab="1"/>
  </bookViews>
  <sheets>
    <sheet name="Preço" sheetId="1" r:id="rId1"/>
    <sheet name="Custos " sheetId="2" r:id="rId2"/>
    <sheet name="Valores" sheetId="3" r:id="rId3"/>
    <sheet name="Memoria de Calculo" sheetId="4" r:id="rId4"/>
    <sheet name="Tabela de Preços" sheetId="5" r:id="rId5"/>
    <sheet name="Rota" sheetId="6" r:id="rId6"/>
    <sheet name="Parametro" sheetId="7" state="hidden" r:id="rId7"/>
  </sheets>
  <externalReferences>
    <externalReference r:id="rId10"/>
  </externalReferences>
  <definedNames>
    <definedName name="Rota">'Rota'!$B$7:$B$9</definedName>
  </definedNames>
  <calcPr fullCalcOnLoad="1"/>
</workbook>
</file>

<file path=xl/sharedStrings.xml><?xml version="1.0" encoding="utf-8"?>
<sst xmlns="http://schemas.openxmlformats.org/spreadsheetml/2006/main" count="495" uniqueCount="302">
  <si>
    <t>Item</t>
  </si>
  <si>
    <t>TRANSPORTE ESCOLAR - (PREFEITURA MUNICIPAL DE PIRAPORA)</t>
  </si>
  <si>
    <t>Itinerário:</t>
  </si>
  <si>
    <t>Percurso Diário:</t>
  </si>
  <si>
    <t>KM</t>
  </si>
  <si>
    <t>Veículo:</t>
  </si>
  <si>
    <t>Ano:</t>
  </si>
  <si>
    <t>DADOS COMPLEMENTARES</t>
  </si>
  <si>
    <t xml:space="preserve">CUSTO DE COMBUSTÍVEL </t>
  </si>
  <si>
    <t>Tipo de serviço</t>
  </si>
  <si>
    <t>Transporte Escolar</t>
  </si>
  <si>
    <t>Coeficiente básico de consumo de combustível (litros/km);</t>
  </si>
  <si>
    <t>Salário normativo da categoria</t>
  </si>
  <si>
    <t>Preço médio do litro de combustível (R$/litro).</t>
  </si>
  <si>
    <t>Categoria profissional</t>
  </si>
  <si>
    <t>Total</t>
  </si>
  <si>
    <t>Data base da categoria</t>
  </si>
  <si>
    <t>Custo de Óleos e Lubrificantes</t>
  </si>
  <si>
    <t>Coeficiente básico de consumo de óleos e lubrificantes (litros/km);</t>
  </si>
  <si>
    <t>CÁLCULO DOS CUSTOS FIXOS</t>
  </si>
  <si>
    <t>Preço médio do litro de óleo/lubrificante (R$/litro).</t>
  </si>
  <si>
    <t>Valor Base do Veiculo de Acordo com Tabela</t>
  </si>
  <si>
    <t>Depreciação</t>
  </si>
  <si>
    <t>Custo de Rodagem</t>
  </si>
  <si>
    <t xml:space="preserve">Fator de Remuneração Anual Veiculo: </t>
  </si>
  <si>
    <t>Vida Útil Estimada</t>
  </si>
  <si>
    <t>Ano Fabricação</t>
  </si>
  <si>
    <t>Faixa de idade</t>
  </si>
  <si>
    <t>Fator de Remuneração</t>
  </si>
  <si>
    <t>Quantidade de Pneus</t>
  </si>
  <si>
    <t>MICRO</t>
  </si>
  <si>
    <t>Preço médio do pneu (R$/pneu).</t>
  </si>
  <si>
    <t>ÔNIBUS</t>
  </si>
  <si>
    <t>Remuneração do Investimento</t>
  </si>
  <si>
    <t xml:space="preserve">Fator de Remuneração Anual Veiculo </t>
  </si>
  <si>
    <t>Encargos Sociais para optantes do Simples Nacional</t>
  </si>
  <si>
    <t>Preço médio da recapagem (R$/2pneu).</t>
  </si>
  <si>
    <t>Encargos Sociais não optante do Simples Nacional</t>
  </si>
  <si>
    <t>Total Pneus Traseiros</t>
  </si>
  <si>
    <t>Custos com Pessoal</t>
  </si>
  <si>
    <t>Vida Útil Estimada Dianteiro</t>
  </si>
  <si>
    <t>Salários</t>
  </si>
  <si>
    <t>Qtde</t>
  </si>
  <si>
    <t>%</t>
  </si>
  <si>
    <t>Valor</t>
  </si>
  <si>
    <t>Motorista</t>
  </si>
  <si>
    <t>Total Pneus Dianteiro</t>
  </si>
  <si>
    <t>Custo Total de Rodagem</t>
  </si>
  <si>
    <t>Custo de Manutenção</t>
  </si>
  <si>
    <t>GRUPO A</t>
  </si>
  <si>
    <t>Km média para manutenção</t>
  </si>
  <si>
    <t>INSS</t>
  </si>
  <si>
    <t>Custo de Serviços (mecânico e ajudante)</t>
  </si>
  <si>
    <t>SESI ou SESC</t>
  </si>
  <si>
    <t>Custo peças e assessórios</t>
  </si>
  <si>
    <t>SENAI ou SENAC</t>
  </si>
  <si>
    <t xml:space="preserve">INCRA </t>
  </si>
  <si>
    <t>Custos Variáveis</t>
  </si>
  <si>
    <t>Salário educação</t>
  </si>
  <si>
    <t>Custos Variáveis (R$/km)</t>
  </si>
  <si>
    <t>FGTS</t>
  </si>
  <si>
    <t>Percurso Diário (km)</t>
  </si>
  <si>
    <t xml:space="preserve">Seguro acidente do trabalho </t>
  </si>
  <si>
    <t xml:space="preserve">Dias letivos/mês </t>
  </si>
  <si>
    <t>SEBRAE</t>
  </si>
  <si>
    <t>Percurso Mensal (km)</t>
  </si>
  <si>
    <t xml:space="preserve">Total Grupo A </t>
  </si>
  <si>
    <t>Custos Variáveis Mensal (km mensal x Custo por km)</t>
  </si>
  <si>
    <t>GRUPO B – Tempo Não Trabalhado</t>
  </si>
  <si>
    <t>TOTAL DOS CUSTOS VARIÁVEIS</t>
  </si>
  <si>
    <t xml:space="preserve">Férias </t>
  </si>
  <si>
    <t xml:space="preserve">TOTAL DOS CUSTOS </t>
  </si>
  <si>
    <t>Aviso Prévio trabalhado</t>
  </si>
  <si>
    <t xml:space="preserve">Custos Indiretos </t>
  </si>
  <si>
    <t>Auxílio doença</t>
  </si>
  <si>
    <t>Base de Cálculo (Custos Totais)</t>
  </si>
  <si>
    <t>Acidente de trabalho</t>
  </si>
  <si>
    <t>Custos Indiretos</t>
  </si>
  <si>
    <t>Faltas legais</t>
  </si>
  <si>
    <t>Afastamento maternidade</t>
  </si>
  <si>
    <t xml:space="preserve"> Lucro</t>
  </si>
  <si>
    <t>Licença paternidade</t>
  </si>
  <si>
    <t>Base de Cálculo (Custos Totais + Custos Indiretos)</t>
  </si>
  <si>
    <t xml:space="preserve">13º Salário </t>
  </si>
  <si>
    <t>Lucro</t>
  </si>
  <si>
    <t xml:space="preserve">Total Grupo B' </t>
  </si>
  <si>
    <t>GRUPO C</t>
  </si>
  <si>
    <t>Tributos</t>
  </si>
  <si>
    <t>Aviso prévio indenizado</t>
  </si>
  <si>
    <t>Base de Calculo (Custos Variáveis + Custo Fixo + Custos Indiretos e Lucro)</t>
  </si>
  <si>
    <t>Indenização adicional</t>
  </si>
  <si>
    <t>ISS</t>
  </si>
  <si>
    <t>Incidência do FGTS sobre o aviso prévio indenizado</t>
  </si>
  <si>
    <t>PIS</t>
  </si>
  <si>
    <t>Indenização (rescisão sem justa causa - 40% FGTS)</t>
  </si>
  <si>
    <t>COFINS</t>
  </si>
  <si>
    <t>Indenização (rescisão sem justa causa -10% FGTS)</t>
  </si>
  <si>
    <t>SIMPLES</t>
  </si>
  <si>
    <t>Incidência do FGTS sobre afastamento superior 15 dias por acidente do trabalho</t>
  </si>
  <si>
    <t>Total de tributos</t>
  </si>
  <si>
    <t>Incidência dos encargos dos grupo A e B</t>
  </si>
  <si>
    <t>Total do grupo C</t>
  </si>
  <si>
    <t xml:space="preserve">Valor Mensal/uni. </t>
  </si>
  <si>
    <t>Total dos Encargos Sociais</t>
  </si>
  <si>
    <t>TAXAS</t>
  </si>
  <si>
    <t>IPVA (1% sobre o valor do veiculo )</t>
  </si>
  <si>
    <t>DPVAT (1/12 avos)</t>
  </si>
  <si>
    <t>Licenciamento (1/12 avos)</t>
  </si>
  <si>
    <t>Vistoria (1/12 avos)</t>
  </si>
  <si>
    <t>Total das Taxas</t>
  </si>
  <si>
    <t>Seguro</t>
  </si>
  <si>
    <t>TOTAL CUSTOS FIXOS</t>
  </si>
  <si>
    <t>TRANSPORTE ESCOLAR (PREFEITURA MUNICIPAL DE PIRAPORA)</t>
  </si>
  <si>
    <t>VALORES</t>
  </si>
  <si>
    <t>Descrição</t>
  </si>
  <si>
    <t>QTD</t>
  </si>
  <si>
    <t>Veículo</t>
  </si>
  <si>
    <t>Insumos</t>
  </si>
  <si>
    <t>Seguro de vida e acidente</t>
  </si>
  <si>
    <t>Combustível</t>
  </si>
  <si>
    <t>Linha</t>
  </si>
  <si>
    <t>Veiculo</t>
  </si>
  <si>
    <t>Nº de passageiros</t>
  </si>
  <si>
    <t>Valor do seguro</t>
  </si>
  <si>
    <t>Categoria</t>
  </si>
  <si>
    <t>Pesado</t>
  </si>
  <si>
    <t>Diesel</t>
  </si>
  <si>
    <t>Valor do veículo (R$)</t>
  </si>
  <si>
    <t>Ônibus</t>
  </si>
  <si>
    <t>Vida Útil  do veículo (km)</t>
  </si>
  <si>
    <t>Óleo lubrificante (R$/litro)</t>
  </si>
  <si>
    <t>Vida Útil do veículo (anos)</t>
  </si>
  <si>
    <t>Pneus</t>
  </si>
  <si>
    <t>Modelo</t>
  </si>
  <si>
    <t>Quantidade</t>
  </si>
  <si>
    <t>Vida útil (km) Traseiro</t>
  </si>
  <si>
    <t>Preço (R$)</t>
  </si>
  <si>
    <t>Câmara (R$)</t>
  </si>
  <si>
    <t>Taxas</t>
  </si>
  <si>
    <t>Protetor (R$)</t>
  </si>
  <si>
    <t>Licenciamento</t>
  </si>
  <si>
    <t>Recapagem (R$)</t>
  </si>
  <si>
    <t>Vistoria</t>
  </si>
  <si>
    <t>Seguro DPVAT</t>
  </si>
  <si>
    <t>Total recapagem</t>
  </si>
  <si>
    <t>IPVA</t>
  </si>
  <si>
    <t>Coeficiente</t>
  </si>
  <si>
    <t>Lubrificantes</t>
  </si>
  <si>
    <t xml:space="preserve">Manutenção </t>
  </si>
  <si>
    <t>Periodicidade da Troca (km)</t>
  </si>
  <si>
    <t>Km médio para manutenção</t>
  </si>
  <si>
    <t>Capacidade do Reservatório/Lt</t>
  </si>
  <si>
    <t>Custo manutenção/Km</t>
  </si>
  <si>
    <t>Total manutenção</t>
  </si>
  <si>
    <t>Consumo (km/litro)</t>
  </si>
  <si>
    <t>Combustível (tipo)</t>
  </si>
  <si>
    <t>DPVAT (valor definido</t>
  </si>
  <si>
    <t>Observações:</t>
  </si>
  <si>
    <t>Os Valores dos veículos foram retirados das tabelas em anexo.</t>
  </si>
  <si>
    <t xml:space="preserve">Os Valores das taxas dos veículos foram retirados do site da </t>
  </si>
  <si>
    <t>Secretaria de Estado da Fazenda e DETRANMG.</t>
  </si>
  <si>
    <t>Os Salário base segundo sites de pesquisa salarial.</t>
  </si>
  <si>
    <t>MEMÓRIA DE CÁLCULO</t>
  </si>
  <si>
    <t>Cálculo dos Custos Variáveis</t>
  </si>
  <si>
    <t>Custo de Combustível</t>
  </si>
  <si>
    <t>ONIBUS</t>
  </si>
  <si>
    <t>Preço médio do litro de coombustível (R$/litro).</t>
  </si>
  <si>
    <t>Custo por Km rodado</t>
  </si>
  <si>
    <t>Vida Util Estimada (considerando recapagens) Traseiro</t>
  </si>
  <si>
    <t>Preço médio da câmara (R$/câmara x 2 camaras de ar).</t>
  </si>
  <si>
    <t>Preço médio do protetor (R$/Protetor x 2 protetores).</t>
  </si>
  <si>
    <t>Preço médio da recapagem (R$/pneu x 2 recapagens permitidas).</t>
  </si>
  <si>
    <t>Custo de Rodagem Traseiro</t>
  </si>
  <si>
    <t>Vida Util Estimada Dianteiro</t>
  </si>
  <si>
    <t>Custo de Rodagem Dianteiro</t>
  </si>
  <si>
    <t>Custo de veiculo zero km  - Média Ponderada  de similares (R$):</t>
  </si>
  <si>
    <t>Km médio</t>
  </si>
  <si>
    <t>Custo por Km resultante da substituição de peças e assessórios</t>
  </si>
  <si>
    <t>Custo por km referente a serviços (mecanico e ajudante)</t>
  </si>
  <si>
    <t>Custo Total de Manutenção</t>
  </si>
  <si>
    <t>Total Custos Variáveis por Km</t>
  </si>
  <si>
    <t>Cálculo dos Custos Fixos</t>
  </si>
  <si>
    <t>Fator de Depreciação Anual Veiculo Pesado - Vida Útil: 10 anos - Valor Residual: 15%</t>
  </si>
  <si>
    <t>Base de Calculo:</t>
  </si>
  <si>
    <t>Fator de Depreciação</t>
  </si>
  <si>
    <t>a</t>
  </si>
  <si>
    <t>ano</t>
  </si>
  <si>
    <t xml:space="preserve">0,85 x 10/55 </t>
  </si>
  <si>
    <t>anos</t>
  </si>
  <si>
    <t xml:space="preserve">0,85 x 9/55 </t>
  </si>
  <si>
    <t xml:space="preserve">0,85 x 8/55 </t>
  </si>
  <si>
    <t xml:space="preserve">0,85 x 7/55 </t>
  </si>
  <si>
    <t xml:space="preserve">0,85 x 6/55 </t>
  </si>
  <si>
    <t>0,85 x 5/55</t>
  </si>
  <si>
    <t>0,85 x 4/55</t>
  </si>
  <si>
    <t xml:space="preserve">0,85 x 3/55 </t>
  </si>
  <si>
    <t xml:space="preserve">0,85 x 2/55 </t>
  </si>
  <si>
    <t xml:space="preserve">0,85 x 1/55 </t>
  </si>
  <si>
    <t>zero</t>
  </si>
  <si>
    <t>Fator de Remuneração Anual Veiculo Pesado - Vida Útil: 10 anos - Valor Residual: 15% - Taxa de Juros: 12% a.a.</t>
  </si>
  <si>
    <t xml:space="preserve">(1 - 0) x 0,12 </t>
  </si>
  <si>
    <t>(1 - 0,85 x 10/55) x 0,12</t>
  </si>
  <si>
    <t>(1 - 0,85 x 19/55) x 0,12</t>
  </si>
  <si>
    <t xml:space="preserve">(1 - 0,85 x 27/55) x 0,12 </t>
  </si>
  <si>
    <t xml:space="preserve">(1 - 0,85 x 34/55) x 0,12 </t>
  </si>
  <si>
    <t xml:space="preserve">(1 - 0,85 x 40/55) x 0,12 </t>
  </si>
  <si>
    <t xml:space="preserve">(1 - 0,85 x 45/55) x 0,12 </t>
  </si>
  <si>
    <t xml:space="preserve">(1 - 0,85 x 49/55) x 0,12 </t>
  </si>
  <si>
    <t xml:space="preserve">(1 - 0,85 x 52/55) x 0,12 </t>
  </si>
  <si>
    <t xml:space="preserve">(1 - 0,85 x 54/55) x 0,12 </t>
  </si>
  <si>
    <t xml:space="preserve">(1 - 0,85 x 55/55) x 0,12 </t>
  </si>
  <si>
    <t>IPVA (1% sobre o valor do veiculo</t>
  </si>
  <si>
    <t>Total Grupo C</t>
  </si>
  <si>
    <t>(PREFEITURA MUNICIPAL DE PIRAPORA)</t>
  </si>
  <si>
    <t xml:space="preserve">TRANSPORTE ESCOLAR </t>
  </si>
  <si>
    <t>TABELA DE PREÇOS</t>
  </si>
  <si>
    <t xml:space="preserve">Ano de Fabricação </t>
  </si>
  <si>
    <t>Média/Valor de veículo</t>
  </si>
  <si>
    <t>ROTA</t>
  </si>
  <si>
    <t>Ordem</t>
  </si>
  <si>
    <t>Roteiro (linha)</t>
  </si>
  <si>
    <t>KM Total</t>
  </si>
  <si>
    <t>Alunos</t>
  </si>
  <si>
    <t>Veículo Ideal</t>
  </si>
  <si>
    <t>Salário</t>
  </si>
  <si>
    <t>Pneus - Custo de Reposição</t>
  </si>
  <si>
    <t xml:space="preserve">Pneus: Coeficiente básico de consumo dos Pneus </t>
  </si>
  <si>
    <t>Tipo</t>
  </si>
  <si>
    <t>Preço</t>
  </si>
  <si>
    <t>Recapagem</t>
  </si>
  <si>
    <t>2 Recapagem</t>
  </si>
  <si>
    <t>Vida Util</t>
  </si>
  <si>
    <t>215/75</t>
  </si>
  <si>
    <t>275/80</t>
  </si>
  <si>
    <t>Lubrificante: Coeficiente básico de consumo de óleos e lubrificantes</t>
  </si>
  <si>
    <t>Periodicidade da Troca</t>
  </si>
  <si>
    <t>Litros</t>
  </si>
  <si>
    <t>Mecânico</t>
  </si>
  <si>
    <t>Ajudante</t>
  </si>
  <si>
    <t>Veiculo novo</t>
  </si>
  <si>
    <t>Vida util (km)</t>
  </si>
  <si>
    <t>Vida Util (anos)</t>
  </si>
  <si>
    <t>Peças</t>
  </si>
  <si>
    <t>Mão de Obra</t>
  </si>
  <si>
    <t xml:space="preserve">MICRO </t>
  </si>
  <si>
    <t>Vistoria Inmetro/DETRAN</t>
  </si>
  <si>
    <t>Km</t>
  </si>
  <si>
    <t>Rota</t>
  </si>
  <si>
    <t>Valor/veículo</t>
  </si>
  <si>
    <t>Salario/motorista</t>
  </si>
  <si>
    <t>SEST</t>
  </si>
  <si>
    <t>SENAT</t>
  </si>
  <si>
    <t xml:space="preserve">Abono Férias </t>
  </si>
  <si>
    <t xml:space="preserve">Auxilio doença </t>
  </si>
  <si>
    <t>Licença maternidade</t>
  </si>
  <si>
    <t xml:space="preserve">Faltas legais </t>
  </si>
  <si>
    <t>Deposito por recisão</t>
  </si>
  <si>
    <t>GRUPO D</t>
  </si>
  <si>
    <t>Incidência dos encargos dos grupo A sobre B</t>
  </si>
  <si>
    <t>Incidência dos encargos dos grupo A sobre C</t>
  </si>
  <si>
    <t>Total do grupo D</t>
  </si>
  <si>
    <t>Incidencia FGTS</t>
  </si>
  <si>
    <t>FGTS sobre afastamento</t>
  </si>
  <si>
    <t xml:space="preserve">Vistoria </t>
  </si>
  <si>
    <t>Custos Fixos</t>
  </si>
  <si>
    <t>PLANILHA TRANSPORTE ESCOLAR - PREÇOS/KM</t>
  </si>
  <si>
    <t xml:space="preserve">Motorista </t>
  </si>
  <si>
    <t>Uniformes</t>
  </si>
  <si>
    <t>Qtde/ano</t>
  </si>
  <si>
    <t>Qtde/mês</t>
  </si>
  <si>
    <t>Valor/mês</t>
  </si>
  <si>
    <t>Calça</t>
  </si>
  <si>
    <t>Camisa</t>
  </si>
  <si>
    <t>Sapato</t>
  </si>
  <si>
    <t>Valor do KM</t>
  </si>
  <si>
    <t>Ônibus (EP)</t>
  </si>
  <si>
    <t>Ônibus (ENP)</t>
  </si>
  <si>
    <t>ÔNIBUS (ENP)</t>
  </si>
  <si>
    <t>ONIBUS (ENP)</t>
  </si>
  <si>
    <t>ENP - Estrada não Pavimentada</t>
  </si>
  <si>
    <t>KM dia</t>
  </si>
  <si>
    <t>Valor do dia</t>
  </si>
  <si>
    <t>VALOR TOTAL DIÁRIO</t>
  </si>
  <si>
    <t>VALORES DA COMPOSIÇÃO DE CUSTO PMP</t>
  </si>
  <si>
    <t>EP - Estrada Pavimentada</t>
  </si>
  <si>
    <t>APAE</t>
  </si>
  <si>
    <t>ATLANTICA</t>
  </si>
  <si>
    <t>PROJETO</t>
  </si>
  <si>
    <t>Auxílio Alimentação</t>
  </si>
  <si>
    <t>Ticket Alimentação/Refeição</t>
  </si>
  <si>
    <t>Percentual da participação do empregado</t>
  </si>
  <si>
    <t>Total Auxílio Alimentação</t>
  </si>
  <si>
    <t>Custos com Uniformes</t>
  </si>
  <si>
    <t>Uniforme</t>
  </si>
  <si>
    <t>TOTAL</t>
  </si>
  <si>
    <t xml:space="preserve">COMPOSIÇÃO DE CUSTOS E FORMAÇÃO DE PREÇOS </t>
  </si>
  <si>
    <t>Monitor</t>
  </si>
  <si>
    <t>Motorista / Monitor</t>
  </si>
  <si>
    <t>2390,03 / 1435,37</t>
  </si>
  <si>
    <t>VALOR TOTAL (200 DIAS LETIVOS)</t>
  </si>
  <si>
    <t>VALOR TOTAL (20 DIAS LETIVOS)</t>
  </si>
  <si>
    <t>Valor KM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</si>
</sst>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&quot;R$ &quot;#,##0.00"/>
    <numFmt numFmtId="166" formatCode="_-* #,##0.00000_-;\-* #,##0.00000_-;_-* \-??_-;_-@_-"/>
    <numFmt numFmtId="167" formatCode="_-* #,##0.00_-;\-* #,##0.00_-;_-* \-??_-;_-@_-"/>
    <numFmt numFmtId="168" formatCode="_-* #,##0.000_-;\-* #,##0.000_-;_-* \-??_-;_-@_-"/>
    <numFmt numFmtId="169" formatCode="_-* #,##0.0000_-;\-* #,##0.0000_-;_-* \-??_-;_-@_-"/>
    <numFmt numFmtId="170" formatCode="_-* #,##0.000000_-;\-* #,##0.000000_-;_-* \-??_-;_-@_-"/>
    <numFmt numFmtId="171" formatCode="0.0000"/>
    <numFmt numFmtId="172" formatCode="_-* #,##0_-;\-* #,##0_-;_-* \-??_-;_-@_-"/>
    <numFmt numFmtId="173" formatCode="_-* #,##0.00000_-;\-* #,##0.00000_-;_-* \-?????_-;_-@_-"/>
    <numFmt numFmtId="174" formatCode="0.000%"/>
    <numFmt numFmtId="175" formatCode="[$R$-416]\ #,##0.00;[Red]\-[$R$-416]\ #,##0.00"/>
    <numFmt numFmtId="176" formatCode="&quot;R$ &quot;#,##0.000"/>
    <numFmt numFmtId="177" formatCode="&quot;R$ &quot;#,##0.00;[Red]&quot;-R$ &quot;#,##0.00"/>
    <numFmt numFmtId="178" formatCode="0.000000"/>
    <numFmt numFmtId="179" formatCode="&quot;R$ &quot;#,##0.00000;[Red]&quot;-R$ &quot;#,##0.00000"/>
    <numFmt numFmtId="180" formatCode="&quot;R$ &quot;#,##0.0000;[Red]&quot;-R$ &quot;#,##0.0000"/>
    <numFmt numFmtId="181" formatCode="0.00000"/>
    <numFmt numFmtId="182" formatCode="_-&quot;R$ &quot;* #,##0.0000_-;&quot;-R$ &quot;* #,##0.0000_-;_-&quot;R$ &quot;* \-??_-;_-@_-"/>
    <numFmt numFmtId="183" formatCode="#,##0.00000"/>
    <numFmt numFmtId="184" formatCode="[$-416]dddd\,\ d&quot; de &quot;mmmm&quot; de &quot;yyyy"/>
    <numFmt numFmtId="185" formatCode="_-&quot;R$ &quot;* #,##0.000_-;&quot;-R$ &quot;* #,##0.000_-;_-&quot;R$ &quot;* \-??_-;_-@_-"/>
    <numFmt numFmtId="186" formatCode="0.0000000"/>
    <numFmt numFmtId="187" formatCode="_-* #,##0.00000_-;\-* #,##0.00000_-;_-* &quot;-&quot;?????_-;_-@_-"/>
    <numFmt numFmtId="188" formatCode="_-* #,##0.000_-;\-* #,##0.000_-;_-* &quot;-&quot;???_-;_-@_-"/>
    <numFmt numFmtId="189" formatCode="* #,##0.00\ ;\-* #,##0.00\ ;* \-#\ ;@\ "/>
    <numFmt numFmtId="190" formatCode="&quot;R$&quot;\ #,##0.00"/>
    <numFmt numFmtId="191" formatCode="&quot; R$ &quot;* #,##0.00\ ;&quot;-R$ &quot;* #,##0.00\ ;&quot; R$ &quot;* \-#\ ;@\ "/>
    <numFmt numFmtId="192" formatCode="0.0%"/>
    <numFmt numFmtId="193" formatCode="0.000"/>
  </numFmts>
  <fonts count="7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color indexed="8"/>
      <name val="Arial"/>
      <family val="2"/>
    </font>
    <font>
      <b/>
      <sz val="10"/>
      <color indexed="56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60"/>
      <name val="Arial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i/>
      <sz val="11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.5"/>
      <color indexed="12"/>
      <name val="Arial"/>
      <family val="2"/>
    </font>
    <font>
      <b/>
      <sz val="10.5"/>
      <color indexed="62"/>
      <name val="Arial"/>
      <family val="2"/>
    </font>
    <font>
      <b/>
      <sz val="14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51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/>
      <right/>
      <top style="medium"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/>
      <right style="medium">
        <color indexed="59"/>
      </right>
      <top/>
      <bottom/>
    </border>
    <border>
      <left>
        <color indexed="63"/>
      </left>
      <right style="medium">
        <color indexed="59"/>
      </right>
      <top style="medium"/>
      <bottom style="medium"/>
    </border>
    <border>
      <left style="medium"/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medium">
        <color indexed="63"/>
      </top>
      <bottom style="medium">
        <color indexed="63"/>
      </bottom>
    </border>
    <border>
      <left style="medium">
        <color indexed="59"/>
      </left>
      <right style="medium"/>
      <top style="medium">
        <color indexed="63"/>
      </top>
      <bottom style="medium">
        <color indexed="63"/>
      </bottom>
    </border>
    <border>
      <left/>
      <right style="medium">
        <color indexed="59"/>
      </right>
      <top style="medium">
        <color indexed="63"/>
      </top>
      <bottom/>
    </border>
    <border>
      <left style="medium"/>
      <right style="medium">
        <color indexed="59"/>
      </right>
      <top style="medium"/>
      <bottom style="medium"/>
    </border>
    <border>
      <left style="medium">
        <color indexed="59"/>
      </left>
      <right style="medium">
        <color indexed="59"/>
      </right>
      <top style="medium"/>
      <bottom style="medium"/>
    </border>
    <border>
      <left style="medium">
        <color indexed="59"/>
      </left>
      <right style="medium"/>
      <top style="medium"/>
      <bottom style="medium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/>
      <right style="medium">
        <color indexed="59"/>
      </right>
      <top style="medium"/>
      <bottom/>
    </border>
    <border>
      <left/>
      <right style="medium"/>
      <top style="medium"/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7" fillId="21" borderId="5" applyNumberFormat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67" fontId="0" fillId="0" borderId="0" applyFill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51">
      <alignment/>
      <protection/>
    </xf>
    <xf numFmtId="0" fontId="0" fillId="33" borderId="0" xfId="0" applyFill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wrapText="1"/>
      <protection hidden="1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0" fillId="34" borderId="0" xfId="0" applyFont="1" applyFill="1" applyBorder="1" applyAlignment="1" applyProtection="1">
      <alignment horizontal="center" wrapText="1"/>
      <protection hidden="1"/>
    </xf>
    <xf numFmtId="0" fontId="4" fillId="34" borderId="0" xfId="0" applyFont="1" applyFill="1" applyBorder="1" applyAlignment="1" applyProtection="1">
      <alignment horizontal="right" vertical="top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 wrapText="1"/>
      <protection locked="0"/>
    </xf>
    <xf numFmtId="165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wrapText="1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wrapText="1"/>
      <protection locked="0"/>
    </xf>
    <xf numFmtId="0" fontId="8" fillId="34" borderId="0" xfId="0" applyFont="1" applyFill="1" applyBorder="1" applyAlignment="1" applyProtection="1">
      <alignment horizontal="left" vertical="top" wrapText="1"/>
      <protection/>
    </xf>
    <xf numFmtId="166" fontId="9" fillId="34" borderId="10" xfId="0" applyNumberFormat="1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 horizontal="right" vertical="top"/>
      <protection hidden="1"/>
    </xf>
    <xf numFmtId="166" fontId="9" fillId="34" borderId="0" xfId="0" applyNumberFormat="1" applyFont="1" applyFill="1" applyBorder="1" applyAlignment="1" applyProtection="1">
      <alignment horizontal="center"/>
      <protection hidden="1"/>
    </xf>
    <xf numFmtId="167" fontId="10" fillId="33" borderId="0" xfId="64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1" fillId="34" borderId="16" xfId="0" applyFont="1" applyFill="1" applyBorder="1" applyAlignment="1" applyProtection="1">
      <alignment/>
      <protection hidden="1"/>
    </xf>
    <xf numFmtId="0" fontId="12" fillId="34" borderId="13" xfId="0" applyFont="1" applyFill="1" applyBorder="1" applyAlignment="1" applyProtection="1">
      <alignment/>
      <protection hidden="1"/>
    </xf>
    <xf numFmtId="0" fontId="11" fillId="34" borderId="13" xfId="0" applyFont="1" applyFill="1" applyBorder="1" applyAlignment="1" applyProtection="1">
      <alignment/>
      <protection hidden="1"/>
    </xf>
    <xf numFmtId="168" fontId="10" fillId="33" borderId="0" xfId="64" applyNumberFormat="1" applyFont="1" applyFill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11" fillId="35" borderId="17" xfId="0" applyFont="1" applyFill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/>
      <protection hidden="1"/>
    </xf>
    <xf numFmtId="166" fontId="8" fillId="33" borderId="0" xfId="64" applyNumberFormat="1" applyFont="1" applyFill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166" fontId="15" fillId="35" borderId="0" xfId="0" applyNumberFormat="1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 horizontal="left"/>
      <protection hidden="1"/>
    </xf>
    <xf numFmtId="0" fontId="11" fillId="35" borderId="18" xfId="0" applyFont="1" applyFill="1" applyBorder="1" applyAlignment="1" applyProtection="1">
      <alignment/>
      <protection hidden="1"/>
    </xf>
    <xf numFmtId="167" fontId="1" fillId="35" borderId="0" xfId="64" applyFont="1" applyFill="1" applyBorder="1" applyAlignment="1" applyProtection="1">
      <alignment/>
      <protection hidden="1"/>
    </xf>
    <xf numFmtId="166" fontId="15" fillId="35" borderId="0" xfId="64" applyNumberFormat="1" applyFont="1" applyFill="1" applyBorder="1" applyAlignment="1" applyProtection="1">
      <alignment/>
      <protection hidden="1"/>
    </xf>
    <xf numFmtId="0" fontId="11" fillId="34" borderId="19" xfId="0" applyFont="1" applyFill="1" applyBorder="1" applyAlignment="1" applyProtection="1">
      <alignment/>
      <protection hidden="1"/>
    </xf>
    <xf numFmtId="170" fontId="15" fillId="35" borderId="0" xfId="64" applyNumberFormat="1" applyFont="1" applyFill="1" applyBorder="1" applyAlignment="1" applyProtection="1">
      <alignment horizontal="center"/>
      <protection hidden="1"/>
    </xf>
    <xf numFmtId="0" fontId="10" fillId="33" borderId="0" xfId="64" applyNumberFormat="1" applyFont="1" applyFill="1" applyBorder="1" applyAlignment="1" applyProtection="1">
      <alignment/>
      <protection hidden="1"/>
    </xf>
    <xf numFmtId="0" fontId="16" fillId="35" borderId="13" xfId="0" applyFont="1" applyFill="1" applyBorder="1" applyAlignment="1" applyProtection="1">
      <alignment/>
      <protection hidden="1"/>
    </xf>
    <xf numFmtId="0" fontId="11" fillId="35" borderId="13" xfId="0" applyFont="1" applyFill="1" applyBorder="1" applyAlignment="1" applyProtection="1">
      <alignment/>
      <protection hidden="1"/>
    </xf>
    <xf numFmtId="0" fontId="11" fillId="35" borderId="13" xfId="0" applyFont="1" applyFill="1" applyBorder="1" applyAlignment="1" applyProtection="1">
      <alignment horizontal="right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166" fontId="10" fillId="33" borderId="0" xfId="64" applyNumberFormat="1" applyFont="1" applyFill="1" applyBorder="1" applyAlignment="1" applyProtection="1">
      <alignment/>
      <protection hidden="1"/>
    </xf>
    <xf numFmtId="0" fontId="11" fillId="34" borderId="18" xfId="0" applyFont="1" applyFill="1" applyBorder="1" applyAlignment="1" applyProtection="1">
      <alignment/>
      <protection hidden="1"/>
    </xf>
    <xf numFmtId="171" fontId="11" fillId="34" borderId="18" xfId="0" applyNumberFormat="1" applyFont="1" applyFill="1" applyBorder="1" applyAlignment="1" applyProtection="1">
      <alignment/>
      <protection hidden="1"/>
    </xf>
    <xf numFmtId="167" fontId="10" fillId="33" borderId="0" xfId="64" applyNumberFormat="1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>
      <alignment/>
    </xf>
    <xf numFmtId="172" fontId="1" fillId="35" borderId="0" xfId="64" applyNumberFormat="1" applyFont="1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167" fontId="1" fillId="35" borderId="0" xfId="64" applyNumberFormat="1" applyFont="1" applyFill="1" applyBorder="1" applyAlignment="1" applyProtection="1">
      <alignment/>
      <protection hidden="1"/>
    </xf>
    <xf numFmtId="173" fontId="15" fillId="35" borderId="0" xfId="0" applyNumberFormat="1" applyFont="1" applyFill="1" applyBorder="1" applyAlignment="1" applyProtection="1">
      <alignment/>
      <protection hidden="1"/>
    </xf>
    <xf numFmtId="166" fontId="1" fillId="34" borderId="0" xfId="64" applyNumberFormat="1" applyFont="1" applyFill="1" applyBorder="1" applyAlignment="1" applyProtection="1">
      <alignment/>
      <protection hidden="1"/>
    </xf>
    <xf numFmtId="166" fontId="1" fillId="35" borderId="0" xfId="64" applyNumberFormat="1" applyFont="1" applyFill="1" applyBorder="1" applyAlignment="1" applyProtection="1">
      <alignment/>
      <protection hidden="1"/>
    </xf>
    <xf numFmtId="10" fontId="11" fillId="35" borderId="0" xfId="0" applyNumberFormat="1" applyFont="1" applyFill="1" applyBorder="1" applyAlignment="1" applyProtection="1">
      <alignment/>
      <protection hidden="1"/>
    </xf>
    <xf numFmtId="170" fontId="15" fillId="35" borderId="0" xfId="64" applyNumberFormat="1" applyFont="1" applyFill="1" applyBorder="1" applyAlignment="1" applyProtection="1">
      <alignment/>
      <protection hidden="1"/>
    </xf>
    <xf numFmtId="166" fontId="4" fillId="33" borderId="0" xfId="64" applyNumberFormat="1" applyFont="1" applyFill="1" applyBorder="1" applyAlignment="1" applyProtection="1">
      <alignment/>
      <protection hidden="1"/>
    </xf>
    <xf numFmtId="0" fontId="16" fillId="35" borderId="0" xfId="0" applyFont="1" applyFill="1" applyBorder="1" applyAlignment="1" applyProtection="1">
      <alignment/>
      <protection hidden="1"/>
    </xf>
    <xf numFmtId="0" fontId="4" fillId="33" borderId="0" xfId="64" applyNumberFormat="1" applyFont="1" applyFill="1" applyBorder="1" applyAlignment="1" applyProtection="1">
      <alignment/>
      <protection hidden="1"/>
    </xf>
    <xf numFmtId="0" fontId="16" fillId="35" borderId="18" xfId="0" applyFont="1" applyFill="1" applyBorder="1" applyAlignment="1" applyProtection="1">
      <alignment/>
      <protection hidden="1"/>
    </xf>
    <xf numFmtId="164" fontId="16" fillId="35" borderId="18" xfId="47" applyFont="1" applyFill="1" applyBorder="1" applyAlignment="1" applyProtection="1">
      <alignment/>
      <protection hidden="1"/>
    </xf>
    <xf numFmtId="10" fontId="11" fillId="35" borderId="0" xfId="0" applyNumberFormat="1" applyFont="1" applyFill="1" applyBorder="1" applyAlignment="1" applyProtection="1">
      <alignment horizontal="left"/>
      <protection hidden="1"/>
    </xf>
    <xf numFmtId="9" fontId="11" fillId="35" borderId="0" xfId="0" applyNumberFormat="1" applyFont="1" applyFill="1" applyBorder="1" applyAlignment="1" applyProtection="1">
      <alignment/>
      <protection hidden="1"/>
    </xf>
    <xf numFmtId="10" fontId="13" fillId="35" borderId="0" xfId="0" applyNumberFormat="1" applyFont="1" applyFill="1" applyBorder="1" applyAlignment="1" applyProtection="1">
      <alignment/>
      <protection hidden="1"/>
    </xf>
    <xf numFmtId="167" fontId="11" fillId="35" borderId="0" xfId="64" applyFont="1" applyFill="1" applyBorder="1" applyAlignment="1" applyProtection="1">
      <alignment/>
      <protection hidden="1"/>
    </xf>
    <xf numFmtId="165" fontId="4" fillId="33" borderId="0" xfId="0" applyNumberFormat="1" applyFont="1" applyFill="1" applyAlignment="1" applyProtection="1">
      <alignment/>
      <protection hidden="1"/>
    </xf>
    <xf numFmtId="175" fontId="11" fillId="35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2" fillId="36" borderId="12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vertical="center"/>
      <protection hidden="1"/>
    </xf>
    <xf numFmtId="0" fontId="2" fillId="36" borderId="18" xfId="0" applyFont="1" applyFill="1" applyBorder="1" applyAlignment="1" applyProtection="1">
      <alignment vertical="center"/>
      <protection hidden="1"/>
    </xf>
    <xf numFmtId="0" fontId="2" fillId="36" borderId="11" xfId="0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center"/>
      <protection hidden="1"/>
    </xf>
    <xf numFmtId="0" fontId="20" fillId="35" borderId="0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/>
      <protection hidden="1"/>
    </xf>
    <xf numFmtId="0" fontId="19" fillId="0" borderId="24" xfId="0" applyFont="1" applyFill="1" applyBorder="1" applyAlignment="1" applyProtection="1">
      <alignment/>
      <protection hidden="1"/>
    </xf>
    <xf numFmtId="0" fontId="12" fillId="0" borderId="24" xfId="0" applyFont="1" applyBorder="1" applyAlignment="1" applyProtection="1">
      <alignment/>
      <protection hidden="1"/>
    </xf>
    <xf numFmtId="0" fontId="12" fillId="0" borderId="25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22" xfId="0" applyFont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26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0" fontId="12" fillId="35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167" fontId="12" fillId="0" borderId="27" xfId="64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167" fontId="12" fillId="35" borderId="0" xfId="64" applyFont="1" applyFill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/>
      <protection hidden="1"/>
    </xf>
    <xf numFmtId="3" fontId="12" fillId="35" borderId="0" xfId="0" applyNumberFormat="1" applyFont="1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vertical="top" wrapText="1"/>
      <protection hidden="1"/>
    </xf>
    <xf numFmtId="167" fontId="12" fillId="0" borderId="27" xfId="0" applyNumberFormat="1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right"/>
      <protection hidden="1" locked="0"/>
    </xf>
    <xf numFmtId="0" fontId="12" fillId="0" borderId="17" xfId="0" applyFont="1" applyBorder="1" applyAlignment="1" applyProtection="1">
      <alignment/>
      <protection hidden="1"/>
    </xf>
    <xf numFmtId="167" fontId="12" fillId="0" borderId="27" xfId="64" applyFont="1" applyFill="1" applyBorder="1" applyAlignment="1" applyProtection="1">
      <alignment/>
      <protection hidden="1" locked="0"/>
    </xf>
    <xf numFmtId="167" fontId="12" fillId="0" borderId="27" xfId="64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171" fontId="12" fillId="0" borderId="27" xfId="0" applyNumberFormat="1" applyFont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/>
      <protection hidden="1"/>
    </xf>
    <xf numFmtId="0" fontId="12" fillId="0" borderId="29" xfId="0" applyFont="1" applyFill="1" applyBorder="1" applyAlignment="1" applyProtection="1">
      <alignment/>
      <protection hidden="1"/>
    </xf>
    <xf numFmtId="178" fontId="12" fillId="35" borderId="0" xfId="0" applyNumberFormat="1" applyFont="1" applyFill="1" applyBorder="1" applyAlignment="1" applyProtection="1">
      <alignment horizontal="center"/>
      <protection hidden="1"/>
    </xf>
    <xf numFmtId="2" fontId="12" fillId="0" borderId="27" xfId="0" applyNumberFormat="1" applyFont="1" applyBorder="1" applyAlignment="1" applyProtection="1">
      <alignment/>
      <protection hidden="1"/>
    </xf>
    <xf numFmtId="2" fontId="12" fillId="35" borderId="0" xfId="0" applyNumberFormat="1" applyFont="1" applyFill="1" applyBorder="1" applyAlignment="1" applyProtection="1">
      <alignment horizontal="center"/>
      <protection hidden="1"/>
    </xf>
    <xf numFmtId="0" fontId="12" fillId="0" borderId="27" xfId="0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vertical="top" wrapText="1"/>
      <protection hidden="1"/>
    </xf>
    <xf numFmtId="167" fontId="12" fillId="0" borderId="30" xfId="64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167" fontId="12" fillId="0" borderId="0" xfId="64" applyFont="1" applyFill="1" applyBorder="1" applyAlignment="1" applyProtection="1">
      <alignment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/>
      <protection hidden="1"/>
    </xf>
    <xf numFmtId="167" fontId="12" fillId="35" borderId="13" xfId="64" applyFont="1" applyFill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2" fillId="0" borderId="21" xfId="0" applyFont="1" applyFill="1" applyBorder="1" applyAlignment="1" applyProtection="1">
      <alignment horizontal="left" vertical="top" wrapText="1"/>
      <protection hidden="1"/>
    </xf>
    <xf numFmtId="0" fontId="12" fillId="0" borderId="18" xfId="0" applyFont="1" applyFill="1" applyBorder="1" applyAlignment="1" applyProtection="1">
      <alignment horizontal="left" vertical="top" wrapText="1"/>
      <protection hidden="1"/>
    </xf>
    <xf numFmtId="0" fontId="12" fillId="0" borderId="18" xfId="0" applyFont="1" applyBorder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1" fillId="0" borderId="19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167" fontId="11" fillId="0" borderId="10" xfId="64" applyFont="1" applyFill="1" applyBorder="1" applyAlignment="1" applyProtection="1">
      <alignment horizontal="right"/>
      <protection hidden="1"/>
    </xf>
    <xf numFmtId="168" fontId="11" fillId="0" borderId="10" xfId="64" applyNumberFormat="1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0" fontId="15" fillId="0" borderId="19" xfId="0" applyFont="1" applyBorder="1" applyAlignment="1" applyProtection="1">
      <alignment/>
      <protection hidden="1"/>
    </xf>
    <xf numFmtId="166" fontId="15" fillId="0" borderId="32" xfId="64" applyNumberFormat="1" applyFont="1" applyFill="1" applyBorder="1" applyAlignment="1" applyProtection="1">
      <alignment horizontal="right"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hidden="1"/>
    </xf>
    <xf numFmtId="166" fontId="15" fillId="0" borderId="14" xfId="64" applyNumberFormat="1" applyFont="1" applyFill="1" applyBorder="1" applyAlignment="1" applyProtection="1">
      <alignment horizontal="right"/>
      <protection hidden="1"/>
    </xf>
    <xf numFmtId="0" fontId="18" fillId="0" borderId="21" xfId="0" applyFont="1" applyBorder="1" applyAlignment="1" applyProtection="1">
      <alignment/>
      <protection hidden="1"/>
    </xf>
    <xf numFmtId="0" fontId="11" fillId="0" borderId="18" xfId="0" applyFont="1" applyBorder="1" applyAlignment="1" applyProtection="1">
      <alignment/>
      <protection hidden="1"/>
    </xf>
    <xf numFmtId="0" fontId="11" fillId="0" borderId="33" xfId="0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171" fontId="11" fillId="0" borderId="10" xfId="0" applyNumberFormat="1" applyFont="1" applyBorder="1" applyAlignment="1" applyProtection="1">
      <alignment/>
      <protection hidden="1"/>
    </xf>
    <xf numFmtId="167" fontId="11" fillId="0" borderId="10" xfId="64" applyFont="1" applyFill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166" fontId="15" fillId="0" borderId="10" xfId="64" applyNumberFormat="1" applyFont="1" applyFill="1" applyBorder="1" applyAlignment="1" applyProtection="1">
      <alignment horizontal="right"/>
      <protection hidden="1"/>
    </xf>
    <xf numFmtId="0" fontId="18" fillId="0" borderId="15" xfId="0" applyFont="1" applyBorder="1" applyAlignment="1" applyProtection="1">
      <alignment/>
      <protection hidden="1"/>
    </xf>
    <xf numFmtId="0" fontId="11" fillId="0" borderId="34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" fontId="11" fillId="0" borderId="14" xfId="0" applyNumberFormat="1" applyFont="1" applyBorder="1" applyAlignment="1" applyProtection="1">
      <alignment/>
      <protection hidden="1"/>
    </xf>
    <xf numFmtId="3" fontId="11" fillId="0" borderId="10" xfId="0" applyNumberFormat="1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/>
      <protection hidden="1"/>
    </xf>
    <xf numFmtId="167" fontId="11" fillId="0" borderId="11" xfId="64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1" fillId="0" borderId="32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13" fillId="0" borderId="31" xfId="0" applyFont="1" applyBorder="1" applyAlignment="1" applyProtection="1">
      <alignment/>
      <protection hidden="1"/>
    </xf>
    <xf numFmtId="166" fontId="13" fillId="0" borderId="35" xfId="0" applyNumberFormat="1" applyFont="1" applyBorder="1" applyAlignment="1" applyProtection="1">
      <alignment/>
      <protection hidden="1"/>
    </xf>
    <xf numFmtId="181" fontId="11" fillId="0" borderId="1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/>
      <protection hidden="1"/>
    </xf>
    <xf numFmtId="167" fontId="0" fillId="0" borderId="0" xfId="64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3" fillId="37" borderId="31" xfId="0" applyFont="1" applyFill="1" applyBorder="1" applyAlignment="1" applyProtection="1">
      <alignment/>
      <protection hidden="1"/>
    </xf>
    <xf numFmtId="0" fontId="11" fillId="37" borderId="19" xfId="0" applyFont="1" applyFill="1" applyBorder="1" applyAlignment="1" applyProtection="1">
      <alignment/>
      <protection hidden="1"/>
    </xf>
    <xf numFmtId="0" fontId="11" fillId="37" borderId="14" xfId="0" applyFont="1" applyFill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0" fontId="25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6" fillId="0" borderId="13" xfId="0" applyFont="1" applyBorder="1" applyAlignment="1" applyProtection="1">
      <alignment horizontal="right"/>
      <protection hidden="1"/>
    </xf>
    <xf numFmtId="0" fontId="25" fillId="0" borderId="36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34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hidden="1"/>
    </xf>
    <xf numFmtId="171" fontId="1" fillId="0" borderId="34" xfId="0" applyNumberFormat="1" applyFont="1" applyBorder="1" applyAlignment="1" applyProtection="1">
      <alignment horizontal="center"/>
      <protection hidden="1"/>
    </xf>
    <xf numFmtId="171" fontId="25" fillId="0" borderId="0" xfId="0" applyNumberFormat="1" applyFont="1" applyAlignment="1" applyProtection="1">
      <alignment horizontal="center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1" fillId="37" borderId="32" xfId="0" applyFont="1" applyFill="1" applyBorder="1" applyAlignment="1" applyProtection="1">
      <alignment/>
      <protection hidden="1"/>
    </xf>
    <xf numFmtId="0" fontId="26" fillId="0" borderId="12" xfId="0" applyFont="1" applyBorder="1" applyAlignment="1" applyProtection="1">
      <alignment/>
      <protection hidden="1"/>
    </xf>
    <xf numFmtId="0" fontId="26" fillId="0" borderId="13" xfId="0" applyFont="1" applyBorder="1" applyAlignment="1" applyProtection="1">
      <alignment/>
      <protection hidden="1"/>
    </xf>
    <xf numFmtId="0" fontId="26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171" fontId="1" fillId="0" borderId="10" xfId="0" applyNumberFormat="1" applyFont="1" applyBorder="1" applyAlignment="1" applyProtection="1">
      <alignment horizontal="center"/>
      <protection hidden="1"/>
    </xf>
    <xf numFmtId="0" fontId="16" fillId="37" borderId="31" xfId="0" applyFont="1" applyFill="1" applyBorder="1" applyAlignment="1" applyProtection="1">
      <alignment/>
      <protection hidden="1"/>
    </xf>
    <xf numFmtId="167" fontId="11" fillId="0" borderId="36" xfId="0" applyNumberFormat="1" applyFont="1" applyBorder="1" applyAlignment="1" applyProtection="1">
      <alignment/>
      <protection hidden="1"/>
    </xf>
    <xf numFmtId="167" fontId="11" fillId="0" borderId="34" xfId="0" applyNumberFormat="1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167" fontId="13" fillId="0" borderId="33" xfId="0" applyNumberFormat="1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/>
      <protection hidden="1"/>
    </xf>
    <xf numFmtId="0" fontId="11" fillId="37" borderId="31" xfId="0" applyFont="1" applyFill="1" applyBorder="1" applyAlignment="1" applyProtection="1">
      <alignment/>
      <protection hidden="1"/>
    </xf>
    <xf numFmtId="0" fontId="13" fillId="37" borderId="19" xfId="0" applyFont="1" applyFill="1" applyBorder="1" applyAlignment="1" applyProtection="1">
      <alignment/>
      <protection hidden="1"/>
    </xf>
    <xf numFmtId="9" fontId="11" fillId="37" borderId="19" xfId="53" applyFont="1" applyFill="1" applyBorder="1" applyAlignment="1" applyProtection="1">
      <alignment/>
      <protection hidden="1"/>
    </xf>
    <xf numFmtId="167" fontId="11" fillId="37" borderId="19" xfId="64" applyFont="1" applyFill="1" applyBorder="1" applyAlignment="1" applyProtection="1">
      <alignment/>
      <protection hidden="1"/>
    </xf>
    <xf numFmtId="167" fontId="11" fillId="37" borderId="32" xfId="64" applyFont="1" applyFill="1" applyBorder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171" fontId="26" fillId="0" borderId="0" xfId="0" applyNumberFormat="1" applyFont="1" applyAlignment="1" applyProtection="1">
      <alignment horizontal="center"/>
      <protection hidden="1"/>
    </xf>
    <xf numFmtId="9" fontId="11" fillId="0" borderId="13" xfId="53" applyFont="1" applyFill="1" applyBorder="1" applyAlignment="1" applyProtection="1">
      <alignment/>
      <protection hidden="1"/>
    </xf>
    <xf numFmtId="167" fontId="11" fillId="0" borderId="13" xfId="64" applyFont="1" applyFill="1" applyBorder="1" applyAlignment="1" applyProtection="1">
      <alignment/>
      <protection hidden="1"/>
    </xf>
    <xf numFmtId="9" fontId="11" fillId="0" borderId="36" xfId="53" applyFont="1" applyFill="1" applyBorder="1" applyAlignment="1" applyProtection="1">
      <alignment/>
      <protection hidden="1"/>
    </xf>
    <xf numFmtId="171" fontId="26" fillId="0" borderId="0" xfId="0" applyNumberFormat="1" applyFont="1" applyAlignment="1" applyProtection="1">
      <alignment/>
      <protection hidden="1"/>
    </xf>
    <xf numFmtId="9" fontId="11" fillId="0" borderId="0" xfId="53" applyFont="1" applyFill="1" applyBorder="1" applyAlignment="1" applyProtection="1">
      <alignment/>
      <protection hidden="1"/>
    </xf>
    <xf numFmtId="167" fontId="11" fillId="0" borderId="0" xfId="64" applyFont="1" applyFill="1" applyBorder="1" applyAlignment="1" applyProtection="1">
      <alignment/>
      <protection hidden="1"/>
    </xf>
    <xf numFmtId="9" fontId="11" fillId="0" borderId="34" xfId="53" applyFont="1" applyFill="1" applyBorder="1" applyAlignment="1" applyProtection="1">
      <alignment/>
      <protection hidden="1"/>
    </xf>
    <xf numFmtId="9" fontId="11" fillId="0" borderId="0" xfId="53" applyFont="1" applyFill="1" applyBorder="1" applyAlignment="1" applyProtection="1">
      <alignment horizontal="right"/>
      <protection hidden="1"/>
    </xf>
    <xf numFmtId="9" fontId="11" fillId="0" borderId="34" xfId="53" applyFont="1" applyFill="1" applyBorder="1" applyAlignment="1" applyProtection="1">
      <alignment horizontal="right"/>
      <protection hidden="1"/>
    </xf>
    <xf numFmtId="9" fontId="13" fillId="0" borderId="0" xfId="53" applyFont="1" applyFill="1" applyBorder="1" applyAlignment="1" applyProtection="1">
      <alignment/>
      <protection hidden="1"/>
    </xf>
    <xf numFmtId="10" fontId="13" fillId="0" borderId="0" xfId="53" applyNumberFormat="1" applyFont="1" applyFill="1" applyBorder="1" applyAlignment="1" applyProtection="1">
      <alignment/>
      <protection hidden="1"/>
    </xf>
    <xf numFmtId="167" fontId="13" fillId="0" borderId="0" xfId="64" applyFont="1" applyFill="1" applyBorder="1" applyAlignment="1" applyProtection="1">
      <alignment/>
      <protection hidden="1"/>
    </xf>
    <xf numFmtId="10" fontId="13" fillId="0" borderId="34" xfId="53" applyNumberFormat="1" applyFont="1" applyFill="1" applyBorder="1" applyAlignment="1" applyProtection="1">
      <alignment/>
      <protection hidden="1"/>
    </xf>
    <xf numFmtId="9" fontId="13" fillId="0" borderId="18" xfId="53" applyFont="1" applyFill="1" applyBorder="1" applyAlignment="1" applyProtection="1">
      <alignment/>
      <protection hidden="1"/>
    </xf>
    <xf numFmtId="174" fontId="13" fillId="0" borderId="18" xfId="53" applyNumberFormat="1" applyFont="1" applyFill="1" applyBorder="1" applyAlignment="1" applyProtection="1">
      <alignment horizontal="right"/>
      <protection hidden="1"/>
    </xf>
    <xf numFmtId="10" fontId="13" fillId="0" borderId="18" xfId="53" applyNumberFormat="1" applyFont="1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/>
      <protection hidden="1"/>
    </xf>
    <xf numFmtId="167" fontId="11" fillId="0" borderId="18" xfId="64" applyFont="1" applyFill="1" applyBorder="1" applyAlignment="1" applyProtection="1">
      <alignment/>
      <protection hidden="1"/>
    </xf>
    <xf numFmtId="10" fontId="13" fillId="0" borderId="33" xfId="53" applyNumberFormat="1" applyFont="1" applyFill="1" applyBorder="1" applyAlignment="1" applyProtection="1">
      <alignment horizontal="right"/>
      <protection hidden="1"/>
    </xf>
    <xf numFmtId="174" fontId="11" fillId="37" borderId="19" xfId="53" applyNumberFormat="1" applyFont="1" applyFill="1" applyBorder="1" applyAlignment="1" applyProtection="1">
      <alignment/>
      <protection hidden="1"/>
    </xf>
    <xf numFmtId="10" fontId="11" fillId="37" borderId="19" xfId="53" applyNumberFormat="1" applyFont="1" applyFill="1" applyBorder="1" applyAlignment="1" applyProtection="1">
      <alignment horizontal="right"/>
      <protection hidden="1"/>
    </xf>
    <xf numFmtId="0" fontId="0" fillId="37" borderId="19" xfId="0" applyFill="1" applyBorder="1" applyAlignment="1" applyProtection="1">
      <alignment/>
      <protection hidden="1"/>
    </xf>
    <xf numFmtId="10" fontId="11" fillId="37" borderId="32" xfId="53" applyNumberFormat="1" applyFont="1" applyFill="1" applyBorder="1" applyAlignment="1" applyProtection="1">
      <alignment horizontal="right"/>
      <protection hidden="1"/>
    </xf>
    <xf numFmtId="10" fontId="11" fillId="0" borderId="0" xfId="53" applyNumberFormat="1" applyFont="1" applyFill="1" applyBorder="1" applyAlignment="1" applyProtection="1">
      <alignment/>
      <protection hidden="1"/>
    </xf>
    <xf numFmtId="10" fontId="11" fillId="0" borderId="36" xfId="53" applyNumberFormat="1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10" fontId="11" fillId="0" borderId="34" xfId="0" applyNumberFormat="1" applyFont="1" applyBorder="1" applyAlignment="1" applyProtection="1">
      <alignment/>
      <protection hidden="1"/>
    </xf>
    <xf numFmtId="10" fontId="11" fillId="0" borderId="0" xfId="0" applyNumberFormat="1" applyFont="1" applyBorder="1" applyAlignment="1" applyProtection="1">
      <alignment/>
      <protection hidden="1"/>
    </xf>
    <xf numFmtId="10" fontId="11" fillId="0" borderId="34" xfId="53" applyNumberFormat="1" applyFont="1" applyFill="1" applyBorder="1" applyAlignment="1" applyProtection="1">
      <alignment/>
      <protection hidden="1"/>
    </xf>
    <xf numFmtId="10" fontId="13" fillId="0" borderId="0" xfId="53" applyNumberFormat="1" applyFont="1" applyFill="1" applyBorder="1" applyAlignment="1" applyProtection="1">
      <alignment horizontal="right"/>
      <protection hidden="1"/>
    </xf>
    <xf numFmtId="167" fontId="13" fillId="0" borderId="0" xfId="64" applyFont="1" applyFill="1" applyBorder="1" applyAlignment="1" applyProtection="1">
      <alignment horizontal="center"/>
      <protection hidden="1"/>
    </xf>
    <xf numFmtId="174" fontId="11" fillId="0" borderId="0" xfId="53" applyNumberFormat="1" applyFont="1" applyFill="1" applyBorder="1" applyAlignment="1" applyProtection="1">
      <alignment/>
      <protection hidden="1"/>
    </xf>
    <xf numFmtId="10" fontId="11" fillId="0" borderId="0" xfId="53" applyNumberFormat="1" applyFont="1" applyFill="1" applyBorder="1" applyAlignment="1" applyProtection="1">
      <alignment horizontal="right"/>
      <protection hidden="1"/>
    </xf>
    <xf numFmtId="2" fontId="11" fillId="0" borderId="0" xfId="0" applyNumberFormat="1" applyFont="1" applyBorder="1" applyAlignment="1" applyProtection="1">
      <alignment/>
      <protection hidden="1"/>
    </xf>
    <xf numFmtId="10" fontId="11" fillId="0" borderId="36" xfId="53" applyNumberFormat="1" applyFont="1" applyFill="1" applyBorder="1" applyAlignment="1" applyProtection="1">
      <alignment horizontal="right"/>
      <protection hidden="1"/>
    </xf>
    <xf numFmtId="10" fontId="11" fillId="0" borderId="34" xfId="53" applyNumberFormat="1" applyFont="1" applyFill="1" applyBorder="1" applyAlignment="1" applyProtection="1">
      <alignment horizontal="right"/>
      <protection hidden="1"/>
    </xf>
    <xf numFmtId="2" fontId="13" fillId="0" borderId="0" xfId="0" applyNumberFormat="1" applyFont="1" applyBorder="1" applyAlignment="1" applyProtection="1">
      <alignment/>
      <protection hidden="1"/>
    </xf>
    <xf numFmtId="165" fontId="13" fillId="0" borderId="18" xfId="64" applyNumberFormat="1" applyFont="1" applyFill="1" applyBorder="1" applyAlignment="1" applyProtection="1">
      <alignment/>
      <protection hidden="1"/>
    </xf>
    <xf numFmtId="10" fontId="13" fillId="0" borderId="33" xfId="53" applyNumberFormat="1" applyFont="1" applyFill="1" applyBorder="1" applyAlignment="1" applyProtection="1">
      <alignment/>
      <protection hidden="1"/>
    </xf>
    <xf numFmtId="9" fontId="11" fillId="0" borderId="0" xfId="0" applyNumberFormat="1" applyFont="1" applyBorder="1" applyAlignment="1" applyProtection="1">
      <alignment/>
      <protection hidden="1"/>
    </xf>
    <xf numFmtId="9" fontId="11" fillId="0" borderId="36" xfId="0" applyNumberFormat="1" applyFont="1" applyBorder="1" applyAlignment="1" applyProtection="1">
      <alignment/>
      <protection hidden="1"/>
    </xf>
    <xf numFmtId="10" fontId="11" fillId="0" borderId="0" xfId="0" applyNumberFormat="1" applyFont="1" applyBorder="1" applyAlignment="1" applyProtection="1">
      <alignment/>
      <protection hidden="1"/>
    </xf>
    <xf numFmtId="10" fontId="11" fillId="0" borderId="34" xfId="0" applyNumberFormat="1" applyFont="1" applyBorder="1" applyAlignment="1" applyProtection="1">
      <alignment/>
      <protection hidden="1"/>
    </xf>
    <xf numFmtId="10" fontId="11" fillId="0" borderId="0" xfId="0" applyNumberFormat="1" applyFont="1" applyFill="1" applyBorder="1" applyAlignment="1" applyProtection="1">
      <alignment/>
      <protection hidden="1"/>
    </xf>
    <xf numFmtId="10" fontId="11" fillId="0" borderId="34" xfId="0" applyNumberFormat="1" applyFont="1" applyFill="1" applyBorder="1" applyAlignment="1" applyProtection="1">
      <alignment/>
      <protection hidden="1"/>
    </xf>
    <xf numFmtId="10" fontId="11" fillId="0" borderId="13" xfId="53" applyNumberFormat="1" applyFont="1" applyFill="1" applyBorder="1" applyAlignment="1" applyProtection="1">
      <alignment/>
      <protection hidden="1"/>
    </xf>
    <xf numFmtId="9" fontId="13" fillId="0" borderId="19" xfId="53" applyFont="1" applyFill="1" applyBorder="1" applyAlignment="1" applyProtection="1">
      <alignment/>
      <protection hidden="1"/>
    </xf>
    <xf numFmtId="10" fontId="13" fillId="0" borderId="19" xfId="53" applyNumberFormat="1" applyFont="1" applyFill="1" applyBorder="1" applyAlignment="1" applyProtection="1">
      <alignment horizontal="right"/>
      <protection hidden="1"/>
    </xf>
    <xf numFmtId="10" fontId="13" fillId="0" borderId="32" xfId="53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 applyProtection="1">
      <alignment/>
      <protection hidden="1"/>
    </xf>
    <xf numFmtId="174" fontId="11" fillId="0" borderId="13" xfId="53" applyNumberFormat="1" applyFont="1" applyFill="1" applyBorder="1" applyAlignment="1" applyProtection="1">
      <alignment/>
      <protection hidden="1"/>
    </xf>
    <xf numFmtId="10" fontId="11" fillId="0" borderId="13" xfId="53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/>
      <protection hidden="1"/>
    </xf>
    <xf numFmtId="165" fontId="13" fillId="0" borderId="0" xfId="64" applyNumberFormat="1" applyFont="1" applyFill="1" applyBorder="1" applyAlignment="1" applyProtection="1">
      <alignment/>
      <protection hidden="1"/>
    </xf>
    <xf numFmtId="167" fontId="11" fillId="0" borderId="0" xfId="64" applyFont="1" applyFill="1" applyBorder="1" applyAlignment="1" applyProtection="1">
      <alignment horizontal="center"/>
      <protection hidden="1"/>
    </xf>
    <xf numFmtId="0" fontId="0" fillId="37" borderId="32" xfId="0" applyFill="1" applyBorder="1" applyAlignment="1" applyProtection="1">
      <alignment/>
      <protection hidden="1"/>
    </xf>
    <xf numFmtId="10" fontId="11" fillId="0" borderId="36" xfId="0" applyNumberFormat="1" applyFont="1" applyFill="1" applyBorder="1" applyAlignment="1" applyProtection="1">
      <alignment/>
      <protection hidden="1"/>
    </xf>
    <xf numFmtId="10" fontId="11" fillId="0" borderId="33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Alignment="1">
      <alignment/>
    </xf>
    <xf numFmtId="0" fontId="28" fillId="38" borderId="36" xfId="0" applyFont="1" applyFill="1" applyBorder="1" applyAlignment="1" applyProtection="1">
      <alignment horizontal="left" vertical="center"/>
      <protection hidden="1"/>
    </xf>
    <xf numFmtId="0" fontId="28" fillId="33" borderId="0" xfId="0" applyFont="1" applyFill="1" applyBorder="1" applyAlignment="1" applyProtection="1">
      <alignment horizontal="left" vertical="center"/>
      <protection hidden="1"/>
    </xf>
    <xf numFmtId="0" fontId="28" fillId="38" borderId="33" xfId="0" applyFont="1" applyFill="1" applyBorder="1" applyAlignment="1" applyProtection="1">
      <alignment horizontal="center" vertical="center"/>
      <protection hidden="1"/>
    </xf>
    <xf numFmtId="0" fontId="0" fillId="36" borderId="15" xfId="0" applyFill="1" applyBorder="1" applyAlignment="1" applyProtection="1">
      <alignment/>
      <protection hidden="1"/>
    </xf>
    <xf numFmtId="0" fontId="29" fillId="35" borderId="20" xfId="0" applyFont="1" applyFill="1" applyBorder="1" applyAlignment="1" applyProtection="1">
      <alignment horizontal="center" vertical="center" wrapText="1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165" fontId="0" fillId="0" borderId="20" xfId="0" applyNumberFormat="1" applyBorder="1" applyAlignment="1" applyProtection="1">
      <alignment/>
      <protection hidden="1"/>
    </xf>
    <xf numFmtId="0" fontId="30" fillId="0" borderId="20" xfId="0" applyFont="1" applyFill="1" applyBorder="1" applyAlignment="1" applyProtection="1">
      <alignment/>
      <protection hidden="1"/>
    </xf>
    <xf numFmtId="0" fontId="30" fillId="35" borderId="20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21" fillId="0" borderId="20" xfId="0" applyFont="1" applyBorder="1" applyAlignment="1" applyProtection="1">
      <alignment/>
      <protection hidden="1"/>
    </xf>
    <xf numFmtId="0" fontId="30" fillId="0" borderId="20" xfId="0" applyFont="1" applyBorder="1" applyAlignment="1" applyProtection="1">
      <alignment horizontal="center"/>
      <protection hidden="1"/>
    </xf>
    <xf numFmtId="0" fontId="30" fillId="0" borderId="20" xfId="0" applyFont="1" applyBorder="1" applyAlignment="1" applyProtection="1">
      <alignment/>
      <protection hidden="1"/>
    </xf>
    <xf numFmtId="0" fontId="30" fillId="35" borderId="20" xfId="0" applyFont="1" applyFill="1" applyBorder="1" applyAlignment="1" applyProtection="1">
      <alignment horizontal="center"/>
      <protection hidden="1"/>
    </xf>
    <xf numFmtId="165" fontId="30" fillId="35" borderId="20" xfId="64" applyNumberFormat="1" applyFont="1" applyFill="1" applyBorder="1" applyAlignment="1" applyProtection="1">
      <alignment/>
      <protection hidden="1"/>
    </xf>
    <xf numFmtId="165" fontId="0" fillId="0" borderId="20" xfId="0" applyNumberFormat="1" applyFont="1" applyBorder="1" applyAlignment="1" applyProtection="1">
      <alignment/>
      <protection hidden="1"/>
    </xf>
    <xf numFmtId="172" fontId="30" fillId="35" borderId="20" xfId="64" applyNumberFormat="1" applyFont="1" applyFill="1" applyBorder="1" applyAlignment="1" applyProtection="1">
      <alignment/>
      <protection hidden="1"/>
    </xf>
    <xf numFmtId="170" fontId="30" fillId="35" borderId="20" xfId="64" applyNumberFormat="1" applyFont="1" applyFill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center"/>
      <protection hidden="1"/>
    </xf>
    <xf numFmtId="2" fontId="30" fillId="35" borderId="20" xfId="0" applyNumberFormat="1" applyFont="1" applyFill="1" applyBorder="1" applyAlignment="1" applyProtection="1">
      <alignment/>
      <protection hidden="1"/>
    </xf>
    <xf numFmtId="178" fontId="30" fillId="0" borderId="20" xfId="0" applyNumberFormat="1" applyFont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35" borderId="0" xfId="0" applyFont="1" applyFill="1" applyBorder="1" applyAlignment="1" applyProtection="1">
      <alignment horizontal="center"/>
      <protection hidden="1"/>
    </xf>
    <xf numFmtId="172" fontId="30" fillId="35" borderId="0" xfId="64" applyNumberFormat="1" applyFont="1" applyFill="1" applyBorder="1" applyAlignment="1" applyProtection="1">
      <alignment/>
      <protection hidden="1"/>
    </xf>
    <xf numFmtId="170" fontId="30" fillId="35" borderId="0" xfId="64" applyNumberFormat="1" applyFont="1" applyFill="1" applyBorder="1" applyAlignment="1" applyProtection="1">
      <alignment/>
      <protection hidden="1"/>
    </xf>
    <xf numFmtId="172" fontId="30" fillId="0" borderId="20" xfId="64" applyNumberFormat="1" applyFont="1" applyFill="1" applyBorder="1" applyAlignment="1" applyProtection="1">
      <alignment/>
      <protection hidden="1"/>
    </xf>
    <xf numFmtId="170" fontId="30" fillId="0" borderId="20" xfId="0" applyNumberFormat="1" applyFont="1" applyBorder="1" applyAlignment="1" applyProtection="1">
      <alignment/>
      <protection hidden="1"/>
    </xf>
    <xf numFmtId="183" fontId="30" fillId="0" borderId="20" xfId="0" applyNumberFormat="1" applyFont="1" applyBorder="1" applyAlignment="1" applyProtection="1">
      <alignment/>
      <protection hidden="1"/>
    </xf>
    <xf numFmtId="183" fontId="30" fillId="0" borderId="0" xfId="0" applyNumberFormat="1" applyFont="1" applyBorder="1" applyAlignment="1" applyProtection="1">
      <alignment/>
      <protection hidden="1"/>
    </xf>
    <xf numFmtId="0" fontId="12" fillId="0" borderId="37" xfId="0" applyFont="1" applyBorder="1" applyAlignment="1" applyProtection="1">
      <alignment/>
      <protection hidden="1"/>
    </xf>
    <xf numFmtId="0" fontId="12" fillId="0" borderId="37" xfId="0" applyFont="1" applyBorder="1" applyAlignment="1" applyProtection="1">
      <alignment/>
      <protection hidden="1"/>
    </xf>
    <xf numFmtId="164" fontId="0" fillId="0" borderId="37" xfId="47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9" fillId="35" borderId="38" xfId="0" applyFont="1" applyFill="1" applyBorder="1" applyAlignment="1" applyProtection="1">
      <alignment horizontal="center" vertical="center" wrapText="1"/>
      <protection hidden="1"/>
    </xf>
    <xf numFmtId="0" fontId="0" fillId="35" borderId="38" xfId="0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164" fontId="12" fillId="0" borderId="37" xfId="47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left"/>
      <protection hidden="1"/>
    </xf>
    <xf numFmtId="0" fontId="17" fillId="0" borderId="38" xfId="0" applyFont="1" applyBorder="1" applyAlignment="1" applyProtection="1">
      <alignment/>
      <protection hidden="1"/>
    </xf>
    <xf numFmtId="164" fontId="0" fillId="0" borderId="39" xfId="47" applyBorder="1" applyAlignment="1" applyProtection="1">
      <alignment/>
      <protection hidden="1"/>
    </xf>
    <xf numFmtId="0" fontId="30" fillId="0" borderId="37" xfId="0" applyFont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 horizontal="left"/>
      <protection hidden="1"/>
    </xf>
    <xf numFmtId="0" fontId="13" fillId="35" borderId="0" xfId="0" applyFont="1" applyFill="1" applyBorder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31" fillId="35" borderId="40" xfId="0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9" fontId="31" fillId="35" borderId="0" xfId="0" applyNumberFormat="1" applyFont="1" applyFill="1" applyBorder="1" applyAlignment="1" applyProtection="1">
      <alignment/>
      <protection hidden="1"/>
    </xf>
    <xf numFmtId="10" fontId="31" fillId="35" borderId="0" xfId="0" applyNumberFormat="1" applyFont="1" applyFill="1" applyBorder="1" applyAlignment="1" applyProtection="1">
      <alignment/>
      <protection hidden="1"/>
    </xf>
    <xf numFmtId="9" fontId="32" fillId="35" borderId="0" xfId="53" applyFont="1" applyFill="1" applyBorder="1" applyAlignment="1" applyProtection="1">
      <alignment/>
      <protection hidden="1"/>
    </xf>
    <xf numFmtId="174" fontId="32" fillId="35" borderId="0" xfId="53" applyNumberFormat="1" applyFont="1" applyFill="1" applyBorder="1" applyAlignment="1" applyProtection="1">
      <alignment horizontal="right"/>
      <protection hidden="1"/>
    </xf>
    <xf numFmtId="10" fontId="31" fillId="35" borderId="0" xfId="53" applyNumberFormat="1" applyFont="1" applyFill="1" applyBorder="1" applyAlignment="1" applyProtection="1">
      <alignment horizontal="right"/>
      <protection hidden="1"/>
    </xf>
    <xf numFmtId="0" fontId="31" fillId="35" borderId="41" xfId="0" applyFont="1" applyFill="1" applyBorder="1" applyAlignment="1" applyProtection="1">
      <alignment/>
      <protection hidden="1"/>
    </xf>
    <xf numFmtId="0" fontId="31" fillId="35" borderId="18" xfId="0" applyFont="1" applyFill="1" applyBorder="1" applyAlignment="1" applyProtection="1">
      <alignment/>
      <protection hidden="1"/>
    </xf>
    <xf numFmtId="9" fontId="32" fillId="35" borderId="18" xfId="53" applyFont="1" applyFill="1" applyBorder="1" applyAlignment="1" applyProtection="1">
      <alignment/>
      <protection hidden="1"/>
    </xf>
    <xf numFmtId="10" fontId="32" fillId="35" borderId="18" xfId="53" applyNumberFormat="1" applyFont="1" applyFill="1" applyBorder="1" applyAlignment="1" applyProtection="1">
      <alignment horizontal="right"/>
      <protection hidden="1"/>
    </xf>
    <xf numFmtId="167" fontId="32" fillId="35" borderId="18" xfId="64" applyFont="1" applyFill="1" applyBorder="1" applyAlignment="1" applyProtection="1">
      <alignment horizontal="center"/>
      <protection hidden="1"/>
    </xf>
    <xf numFmtId="167" fontId="32" fillId="35" borderId="42" xfId="64" applyFont="1" applyFill="1" applyBorder="1" applyAlignment="1" applyProtection="1">
      <alignment horizontal="center"/>
      <protection hidden="1"/>
    </xf>
    <xf numFmtId="0" fontId="31" fillId="35" borderId="43" xfId="0" applyFont="1" applyFill="1" applyBorder="1" applyAlignment="1" applyProtection="1">
      <alignment/>
      <protection hidden="1"/>
    </xf>
    <xf numFmtId="0" fontId="31" fillId="35" borderId="13" xfId="0" applyFont="1" applyFill="1" applyBorder="1" applyAlignment="1" applyProtection="1">
      <alignment/>
      <protection hidden="1"/>
    </xf>
    <xf numFmtId="174" fontId="31" fillId="35" borderId="13" xfId="53" applyNumberFormat="1" applyFont="1" applyFill="1" applyBorder="1" applyAlignment="1" applyProtection="1">
      <alignment/>
      <protection hidden="1"/>
    </xf>
    <xf numFmtId="10" fontId="31" fillId="35" borderId="13" xfId="53" applyNumberFormat="1" applyFont="1" applyFill="1" applyBorder="1" applyAlignment="1" applyProtection="1">
      <alignment horizontal="right"/>
      <protection hidden="1"/>
    </xf>
    <xf numFmtId="174" fontId="31" fillId="35" borderId="0" xfId="53" applyNumberFormat="1" applyFont="1" applyFill="1" applyBorder="1" applyAlignment="1" applyProtection="1">
      <alignment/>
      <protection hidden="1"/>
    </xf>
    <xf numFmtId="9" fontId="31" fillId="35" borderId="0" xfId="53" applyFont="1" applyFill="1" applyBorder="1" applyAlignment="1" applyProtection="1">
      <alignment/>
      <protection hidden="1"/>
    </xf>
    <xf numFmtId="174" fontId="31" fillId="39" borderId="0" xfId="53" applyNumberFormat="1" applyFont="1" applyFill="1" applyBorder="1" applyAlignment="1" applyProtection="1">
      <alignment horizontal="right"/>
      <protection hidden="1"/>
    </xf>
    <xf numFmtId="2" fontId="32" fillId="35" borderId="0" xfId="0" applyNumberFormat="1" applyFont="1" applyFill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31" fillId="35" borderId="44" xfId="0" applyFont="1" applyFill="1" applyBorder="1" applyAlignment="1" applyProtection="1">
      <alignment/>
      <protection hidden="1"/>
    </xf>
    <xf numFmtId="0" fontId="31" fillId="35" borderId="45" xfId="0" applyFont="1" applyFill="1" applyBorder="1" applyAlignment="1" applyProtection="1">
      <alignment/>
      <protection hidden="1"/>
    </xf>
    <xf numFmtId="174" fontId="31" fillId="35" borderId="45" xfId="53" applyNumberFormat="1" applyFont="1" applyFill="1" applyBorder="1" applyAlignment="1" applyProtection="1">
      <alignment/>
      <protection hidden="1"/>
    </xf>
    <xf numFmtId="174" fontId="32" fillId="35" borderId="0" xfId="53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4" fontId="0" fillId="0" borderId="24" xfId="47" applyBorder="1" applyAlignment="1" applyProtection="1">
      <alignment/>
      <protection hidden="1"/>
    </xf>
    <xf numFmtId="10" fontId="31" fillId="35" borderId="0" xfId="0" applyNumberFormat="1" applyFont="1" applyFill="1" applyBorder="1" applyAlignment="1" applyProtection="1">
      <alignment horizontal="left"/>
      <protection hidden="1"/>
    </xf>
    <xf numFmtId="167" fontId="31" fillId="35" borderId="0" xfId="64" applyFont="1" applyFill="1" applyBorder="1" applyAlignment="1" applyProtection="1">
      <alignment/>
      <protection hidden="1"/>
    </xf>
    <xf numFmtId="167" fontId="31" fillId="35" borderId="46" xfId="64" applyFont="1" applyFill="1" applyBorder="1" applyAlignment="1" applyProtection="1">
      <alignment/>
      <protection hidden="1"/>
    </xf>
    <xf numFmtId="10" fontId="31" fillId="35" borderId="0" xfId="53" applyNumberFormat="1" applyFont="1" applyFill="1" applyBorder="1" applyAlignment="1" applyProtection="1">
      <alignment horizontal="center"/>
      <protection hidden="1"/>
    </xf>
    <xf numFmtId="165" fontId="32" fillId="35" borderId="0" xfId="64" applyNumberFormat="1" applyFont="1" applyFill="1" applyBorder="1" applyAlignment="1" applyProtection="1">
      <alignment/>
      <protection hidden="1"/>
    </xf>
    <xf numFmtId="164" fontId="0" fillId="0" borderId="0" xfId="47" applyBorder="1" applyAlignment="1" applyProtection="1">
      <alignment horizontal="center"/>
      <protection hidden="1"/>
    </xf>
    <xf numFmtId="190" fontId="30" fillId="0" borderId="20" xfId="64" applyNumberFormat="1" applyFont="1" applyFill="1" applyBorder="1" applyAlignment="1" applyProtection="1">
      <alignment/>
      <protection locked="0"/>
    </xf>
    <xf numFmtId="9" fontId="0" fillId="0" borderId="0" xfId="53" applyNumberFormat="1" applyFill="1" applyBorder="1" applyAlignment="1" applyProtection="1">
      <alignment/>
      <protection hidden="1"/>
    </xf>
    <xf numFmtId="0" fontId="31" fillId="41" borderId="47" xfId="0" applyFont="1" applyFill="1" applyBorder="1" applyAlignment="1" applyProtection="1">
      <alignment/>
      <protection hidden="1"/>
    </xf>
    <xf numFmtId="0" fontId="32" fillId="41" borderId="48" xfId="0" applyFont="1" applyFill="1" applyBorder="1" applyAlignment="1" applyProtection="1">
      <alignment horizontal="left"/>
      <protection hidden="1"/>
    </xf>
    <xf numFmtId="0" fontId="31" fillId="41" borderId="48" xfId="0" applyFont="1" applyFill="1" applyBorder="1" applyAlignment="1" applyProtection="1">
      <alignment/>
      <protection hidden="1"/>
    </xf>
    <xf numFmtId="174" fontId="32" fillId="41" borderId="48" xfId="53" applyNumberFormat="1" applyFont="1" applyFill="1" applyBorder="1" applyAlignment="1" applyProtection="1">
      <alignment/>
      <protection hidden="1"/>
    </xf>
    <xf numFmtId="165" fontId="32" fillId="41" borderId="48" xfId="64" applyNumberFormat="1" applyFont="1" applyFill="1" applyBorder="1" applyAlignment="1" applyProtection="1">
      <alignment horizontal="right"/>
      <protection hidden="1"/>
    </xf>
    <xf numFmtId="165" fontId="32" fillId="41" borderId="49" xfId="64" applyNumberFormat="1" applyFont="1" applyFill="1" applyBorder="1" applyAlignment="1" applyProtection="1">
      <alignment horizontal="right"/>
      <protection hidden="1"/>
    </xf>
    <xf numFmtId="0" fontId="31" fillId="41" borderId="40" xfId="0" applyFont="1" applyFill="1" applyBorder="1" applyAlignment="1" applyProtection="1">
      <alignment/>
      <protection hidden="1"/>
    </xf>
    <xf numFmtId="0" fontId="34" fillId="41" borderId="45" xfId="0" applyFont="1" applyFill="1" applyBorder="1" applyAlignment="1" applyProtection="1">
      <alignment/>
      <protection hidden="1"/>
    </xf>
    <xf numFmtId="0" fontId="32" fillId="41" borderId="0" xfId="0" applyFont="1" applyFill="1" applyBorder="1" applyAlignment="1" applyProtection="1">
      <alignment/>
      <protection hidden="1"/>
    </xf>
    <xf numFmtId="0" fontId="31" fillId="41" borderId="0" xfId="0" applyFont="1" applyFill="1" applyBorder="1" applyAlignment="1" applyProtection="1">
      <alignment/>
      <protection hidden="1"/>
    </xf>
    <xf numFmtId="174" fontId="32" fillId="41" borderId="0" xfId="53" applyNumberFormat="1" applyFont="1" applyFill="1" applyBorder="1" applyAlignment="1" applyProtection="1">
      <alignment/>
      <protection hidden="1"/>
    </xf>
    <xf numFmtId="165" fontId="32" fillId="41" borderId="0" xfId="64" applyNumberFormat="1" applyFont="1" applyFill="1" applyBorder="1" applyAlignment="1" applyProtection="1">
      <alignment horizontal="right"/>
      <protection hidden="1"/>
    </xf>
    <xf numFmtId="165" fontId="32" fillId="41" borderId="46" xfId="64" applyNumberFormat="1" applyFont="1" applyFill="1" applyBorder="1" applyAlignment="1" applyProtection="1">
      <alignment horizontal="right"/>
      <protection hidden="1"/>
    </xf>
    <xf numFmtId="0" fontId="11" fillId="42" borderId="0" xfId="0" applyFont="1" applyFill="1" applyBorder="1" applyAlignment="1" applyProtection="1">
      <alignment/>
      <protection hidden="1"/>
    </xf>
    <xf numFmtId="0" fontId="16" fillId="42" borderId="0" xfId="0" applyFont="1" applyFill="1" applyBorder="1" applyAlignment="1" applyProtection="1">
      <alignment/>
      <protection hidden="1"/>
    </xf>
    <xf numFmtId="169" fontId="1" fillId="42" borderId="0" xfId="64" applyNumberFormat="1" applyFont="1" applyFill="1" applyBorder="1" applyAlignment="1" applyProtection="1">
      <alignment/>
      <protection hidden="1"/>
    </xf>
    <xf numFmtId="0" fontId="11" fillId="42" borderId="17" xfId="0" applyFont="1" applyFill="1" applyBorder="1" applyAlignment="1" applyProtection="1">
      <alignment/>
      <protection hidden="1"/>
    </xf>
    <xf numFmtId="0" fontId="11" fillId="42" borderId="0" xfId="0" applyFont="1" applyFill="1" applyBorder="1" applyAlignment="1" applyProtection="1">
      <alignment horizontal="left"/>
      <protection hidden="1"/>
    </xf>
    <xf numFmtId="172" fontId="1" fillId="42" borderId="0" xfId="64" applyNumberFormat="1" applyFont="1" applyFill="1" applyBorder="1" applyAlignment="1" applyProtection="1">
      <alignment/>
      <protection hidden="1"/>
    </xf>
    <xf numFmtId="0" fontId="1" fillId="42" borderId="17" xfId="0" applyFont="1" applyFill="1" applyBorder="1" applyAlignment="1" applyProtection="1">
      <alignment/>
      <protection hidden="1"/>
    </xf>
    <xf numFmtId="0" fontId="1" fillId="42" borderId="0" xfId="0" applyFont="1" applyFill="1" applyBorder="1" applyAlignment="1" applyProtection="1">
      <alignment/>
      <protection hidden="1"/>
    </xf>
    <xf numFmtId="167" fontId="15" fillId="42" borderId="0" xfId="64" applyFont="1" applyFill="1" applyBorder="1" applyAlignment="1" applyProtection="1">
      <alignment/>
      <protection hidden="1"/>
    </xf>
    <xf numFmtId="167" fontId="13" fillId="42" borderId="0" xfId="64" applyFont="1" applyFill="1" applyBorder="1" applyAlignment="1" applyProtection="1">
      <alignment/>
      <protection hidden="1"/>
    </xf>
    <xf numFmtId="10" fontId="11" fillId="42" borderId="0" xfId="0" applyNumberFormat="1" applyFont="1" applyFill="1" applyBorder="1" applyAlignment="1" applyProtection="1">
      <alignment/>
      <protection hidden="1"/>
    </xf>
    <xf numFmtId="167" fontId="11" fillId="42" borderId="0" xfId="64" applyFont="1" applyFill="1" applyBorder="1" applyAlignment="1" applyProtection="1">
      <alignment/>
      <protection hidden="1"/>
    </xf>
    <xf numFmtId="0" fontId="11" fillId="43" borderId="50" xfId="0" applyFont="1" applyFill="1" applyBorder="1" applyAlignment="1" applyProtection="1">
      <alignment/>
      <protection hidden="1"/>
    </xf>
    <xf numFmtId="0" fontId="11" fillId="44" borderId="19" xfId="0" applyFont="1" applyFill="1" applyBorder="1" applyAlignment="1" applyProtection="1">
      <alignment/>
      <protection hidden="1"/>
    </xf>
    <xf numFmtId="0" fontId="13" fillId="44" borderId="19" xfId="0" applyFont="1" applyFill="1" applyBorder="1" applyAlignment="1" applyProtection="1">
      <alignment/>
      <protection hidden="1"/>
    </xf>
    <xf numFmtId="0" fontId="31" fillId="39" borderId="40" xfId="0" applyFont="1" applyFill="1" applyBorder="1" applyAlignment="1" applyProtection="1">
      <alignment/>
      <protection hidden="1"/>
    </xf>
    <xf numFmtId="9" fontId="32" fillId="39" borderId="0" xfId="53" applyFont="1" applyFill="1" applyBorder="1" applyAlignment="1" applyProtection="1">
      <alignment/>
      <protection hidden="1"/>
    </xf>
    <xf numFmtId="174" fontId="32" fillId="39" borderId="0" xfId="53" applyNumberFormat="1" applyFont="1" applyFill="1" applyBorder="1" applyAlignment="1" applyProtection="1">
      <alignment/>
      <protection hidden="1"/>
    </xf>
    <xf numFmtId="0" fontId="11" fillId="39" borderId="17" xfId="0" applyFont="1" applyFill="1" applyBorder="1" applyAlignment="1" applyProtection="1">
      <alignment/>
      <protection hidden="1"/>
    </xf>
    <xf numFmtId="174" fontId="13" fillId="39" borderId="0" xfId="53" applyNumberFormat="1" applyFont="1" applyFill="1" applyBorder="1" applyAlignment="1" applyProtection="1">
      <alignment horizontal="center"/>
      <protection hidden="1"/>
    </xf>
    <xf numFmtId="174" fontId="11" fillId="39" borderId="0" xfId="53" applyNumberFormat="1" applyFont="1" applyFill="1" applyBorder="1" applyAlignment="1" applyProtection="1">
      <alignment horizontal="center"/>
      <protection hidden="1"/>
    </xf>
    <xf numFmtId="10" fontId="13" fillId="39" borderId="0" xfId="53" applyNumberFormat="1" applyFont="1" applyFill="1" applyBorder="1" applyAlignment="1" applyProtection="1">
      <alignment horizontal="left"/>
      <protection hidden="1"/>
    </xf>
    <xf numFmtId="167" fontId="13" fillId="39" borderId="0" xfId="64" applyFont="1" applyFill="1" applyBorder="1" applyAlignment="1" applyProtection="1">
      <alignment horizontal="center"/>
      <protection hidden="1"/>
    </xf>
    <xf numFmtId="0" fontId="11" fillId="45" borderId="17" xfId="0" applyFont="1" applyFill="1" applyBorder="1" applyAlignment="1" applyProtection="1">
      <alignment/>
      <protection hidden="1"/>
    </xf>
    <xf numFmtId="0" fontId="11" fillId="45" borderId="0" xfId="0" applyFont="1" applyFill="1" applyBorder="1" applyAlignment="1" applyProtection="1">
      <alignment/>
      <protection hidden="1"/>
    </xf>
    <xf numFmtId="0" fontId="13" fillId="45" borderId="0" xfId="0" applyFont="1" applyFill="1" applyBorder="1" applyAlignment="1" applyProtection="1">
      <alignment/>
      <protection hidden="1"/>
    </xf>
    <xf numFmtId="0" fontId="31" fillId="39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164" fontId="12" fillId="0" borderId="0" xfId="47" applyFont="1" applyFill="1" applyBorder="1" applyAlignment="1" applyProtection="1">
      <alignment horizontal="center"/>
      <protection hidden="1"/>
    </xf>
    <xf numFmtId="181" fontId="12" fillId="0" borderId="37" xfId="47" applyNumberFormat="1" applyFont="1" applyFill="1" applyBorder="1" applyAlignment="1" applyProtection="1">
      <alignment horizontal="center"/>
      <protection hidden="1"/>
    </xf>
    <xf numFmtId="0" fontId="13" fillId="0" borderId="37" xfId="0" applyFont="1" applyBorder="1" applyAlignment="1">
      <alignment/>
    </xf>
    <xf numFmtId="164" fontId="0" fillId="0" borderId="37" xfId="47" applyBorder="1" applyAlignment="1">
      <alignment/>
    </xf>
    <xf numFmtId="0" fontId="11" fillId="0" borderId="37" xfId="0" applyFont="1" applyBorder="1" applyAlignment="1">
      <alignment/>
    </xf>
    <xf numFmtId="13" fontId="11" fillId="0" borderId="37" xfId="0" applyNumberFormat="1" applyFont="1" applyBorder="1" applyAlignment="1">
      <alignment/>
    </xf>
    <xf numFmtId="0" fontId="11" fillId="0" borderId="37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7" fillId="0" borderId="37" xfId="0" applyFont="1" applyBorder="1" applyAlignment="1" applyProtection="1">
      <alignment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1" fillId="46" borderId="47" xfId="0" applyFont="1" applyFill="1" applyBorder="1" applyAlignment="1" applyProtection="1">
      <alignment/>
      <protection hidden="1"/>
    </xf>
    <xf numFmtId="0" fontId="11" fillId="46" borderId="51" xfId="0" applyFont="1" applyFill="1" applyBorder="1" applyAlignment="1" applyProtection="1">
      <alignment/>
      <protection hidden="1"/>
    </xf>
    <xf numFmtId="0" fontId="11" fillId="46" borderId="48" xfId="0" applyFont="1" applyFill="1" applyBorder="1" applyAlignment="1" applyProtection="1">
      <alignment/>
      <protection hidden="1"/>
    </xf>
    <xf numFmtId="164" fontId="13" fillId="46" borderId="48" xfId="47" applyFont="1" applyFill="1" applyBorder="1" applyAlignment="1" applyProtection="1">
      <alignment horizontal="right"/>
      <protection hidden="1"/>
    </xf>
    <xf numFmtId="4" fontId="13" fillId="46" borderId="49" xfId="47" applyNumberFormat="1" applyFont="1" applyFill="1" applyBorder="1" applyAlignment="1" applyProtection="1">
      <alignment horizontal="right"/>
      <protection hidden="1"/>
    </xf>
    <xf numFmtId="0" fontId="13" fillId="46" borderId="47" xfId="0" applyFont="1" applyFill="1" applyBorder="1" applyAlignment="1" applyProtection="1">
      <alignment/>
      <protection hidden="1"/>
    </xf>
    <xf numFmtId="165" fontId="13" fillId="46" borderId="49" xfId="0" applyNumberFormat="1" applyFont="1" applyFill="1" applyBorder="1" applyAlignment="1" applyProtection="1">
      <alignment/>
      <protection hidden="1"/>
    </xf>
    <xf numFmtId="0" fontId="11" fillId="35" borderId="46" xfId="0" applyFont="1" applyFill="1" applyBorder="1" applyAlignment="1" applyProtection="1">
      <alignment/>
      <protection hidden="1"/>
    </xf>
    <xf numFmtId="0" fontId="11" fillId="35" borderId="41" xfId="0" applyFont="1" applyFill="1" applyBorder="1" applyAlignment="1" applyProtection="1">
      <alignment/>
      <protection hidden="1"/>
    </xf>
    <xf numFmtId="0" fontId="11" fillId="35" borderId="42" xfId="0" applyFont="1" applyFill="1" applyBorder="1" applyAlignment="1" applyProtection="1">
      <alignment/>
      <protection hidden="1"/>
    </xf>
    <xf numFmtId="0" fontId="13" fillId="34" borderId="52" xfId="0" applyFont="1" applyFill="1" applyBorder="1" applyAlignment="1" applyProtection="1">
      <alignment/>
      <protection hidden="1"/>
    </xf>
    <xf numFmtId="0" fontId="11" fillId="35" borderId="43" xfId="0" applyFont="1" applyFill="1" applyBorder="1" applyAlignment="1" applyProtection="1">
      <alignment/>
      <protection hidden="1"/>
    </xf>
    <xf numFmtId="0" fontId="11" fillId="35" borderId="46" xfId="0" applyFont="1" applyFill="1" applyBorder="1" applyAlignment="1" applyProtection="1">
      <alignment/>
      <protection hidden="1"/>
    </xf>
    <xf numFmtId="0" fontId="11" fillId="34" borderId="41" xfId="0" applyFont="1" applyFill="1" applyBorder="1" applyAlignment="1" applyProtection="1">
      <alignment/>
      <protection hidden="1"/>
    </xf>
    <xf numFmtId="0" fontId="11" fillId="34" borderId="40" xfId="0" applyFont="1" applyFill="1" applyBorder="1" applyAlignment="1" applyProtection="1">
      <alignment/>
      <protection hidden="1"/>
    </xf>
    <xf numFmtId="0" fontId="0" fillId="40" borderId="40" xfId="0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174" fontId="4" fillId="40" borderId="0" xfId="0" applyNumberFormat="1" applyFont="1" applyFill="1" applyBorder="1" applyAlignment="1" applyProtection="1">
      <alignment/>
      <protection hidden="1"/>
    </xf>
    <xf numFmtId="0" fontId="4" fillId="40" borderId="0" xfId="0" applyFont="1" applyFill="1" applyBorder="1" applyAlignment="1" applyProtection="1">
      <alignment/>
      <protection hidden="1"/>
    </xf>
    <xf numFmtId="174" fontId="0" fillId="40" borderId="0" xfId="0" applyNumberFormat="1" applyFill="1" applyBorder="1" applyAlignment="1" applyProtection="1">
      <alignment/>
      <protection hidden="1"/>
    </xf>
    <xf numFmtId="0" fontId="11" fillId="34" borderId="43" xfId="0" applyFont="1" applyFill="1" applyBorder="1" applyAlignment="1" applyProtection="1">
      <alignment/>
      <protection hidden="1"/>
    </xf>
    <xf numFmtId="168" fontId="1" fillId="34" borderId="53" xfId="64" applyNumberFormat="1" applyFont="1" applyFill="1" applyBorder="1" applyAlignment="1" applyProtection="1">
      <alignment/>
      <protection hidden="1"/>
    </xf>
    <xf numFmtId="0" fontId="11" fillId="34" borderId="46" xfId="0" applyFont="1" applyFill="1" applyBorder="1" applyAlignment="1" applyProtection="1">
      <alignment/>
      <protection hidden="1"/>
    </xf>
    <xf numFmtId="168" fontId="15" fillId="34" borderId="46" xfId="64" applyNumberFormat="1" applyFont="1" applyFill="1" applyBorder="1" applyAlignment="1" applyProtection="1">
      <alignment horizontal="center"/>
      <protection hidden="1"/>
    </xf>
    <xf numFmtId="0" fontId="11" fillId="42" borderId="40" xfId="0" applyFont="1" applyFill="1" applyBorder="1" applyAlignment="1" applyProtection="1">
      <alignment/>
      <protection hidden="1"/>
    </xf>
    <xf numFmtId="169" fontId="1" fillId="42" borderId="46" xfId="64" applyNumberFormat="1" applyFont="1" applyFill="1" applyBorder="1" applyAlignment="1" applyProtection="1">
      <alignment/>
      <protection hidden="1"/>
    </xf>
    <xf numFmtId="169" fontId="1" fillId="34" borderId="46" xfId="64" applyNumberFormat="1" applyFont="1" applyFill="1" applyBorder="1" applyAlignment="1" applyProtection="1">
      <alignment/>
      <protection hidden="1"/>
    </xf>
    <xf numFmtId="167" fontId="1" fillId="34" borderId="46" xfId="64" applyFont="1" applyFill="1" applyBorder="1" applyAlignment="1" applyProtection="1">
      <alignment/>
      <protection hidden="1"/>
    </xf>
    <xf numFmtId="166" fontId="15" fillId="34" borderId="46" xfId="64" applyNumberFormat="1" applyFont="1" applyFill="1" applyBorder="1" applyAlignment="1" applyProtection="1">
      <alignment/>
      <protection hidden="1"/>
    </xf>
    <xf numFmtId="0" fontId="11" fillId="42" borderId="46" xfId="0" applyFont="1" applyFill="1" applyBorder="1" applyAlignment="1" applyProtection="1">
      <alignment/>
      <protection hidden="1"/>
    </xf>
    <xf numFmtId="3" fontId="1" fillId="34" borderId="46" xfId="64" applyNumberFormat="1" applyFont="1" applyFill="1" applyBorder="1" applyAlignment="1" applyProtection="1">
      <alignment/>
      <protection hidden="1"/>
    </xf>
    <xf numFmtId="166" fontId="15" fillId="34" borderId="46" xfId="64" applyNumberFormat="1" applyFont="1" applyFill="1" applyBorder="1" applyAlignment="1" applyProtection="1">
      <alignment horizontal="center"/>
      <protection hidden="1"/>
    </xf>
    <xf numFmtId="172" fontId="1" fillId="34" borderId="46" xfId="64" applyNumberFormat="1" applyFont="1" applyFill="1" applyBorder="1" applyAlignment="1" applyProtection="1">
      <alignment/>
      <protection hidden="1"/>
    </xf>
    <xf numFmtId="173" fontId="15" fillId="42" borderId="46" xfId="0" applyNumberFormat="1" applyFont="1" applyFill="1" applyBorder="1" applyAlignment="1" applyProtection="1">
      <alignment/>
      <protection hidden="1"/>
    </xf>
    <xf numFmtId="166" fontId="1" fillId="34" borderId="46" xfId="64" applyNumberFormat="1" applyFont="1" applyFill="1" applyBorder="1" applyAlignment="1" applyProtection="1">
      <alignment/>
      <protection hidden="1"/>
    </xf>
    <xf numFmtId="166" fontId="13" fillId="34" borderId="46" xfId="64" applyNumberFormat="1" applyFont="1" applyFill="1" applyBorder="1" applyAlignment="1" applyProtection="1">
      <alignment/>
      <protection hidden="1"/>
    </xf>
    <xf numFmtId="0" fontId="13" fillId="34" borderId="46" xfId="64" applyNumberFormat="1" applyFont="1" applyFill="1" applyBorder="1" applyAlignment="1" applyProtection="1">
      <alignment horizontal="right"/>
      <protection hidden="1"/>
    </xf>
    <xf numFmtId="0" fontId="13" fillId="34" borderId="46" xfId="64" applyNumberFormat="1" applyFont="1" applyFill="1" applyBorder="1" applyAlignment="1" applyProtection="1">
      <alignment/>
      <protection hidden="1"/>
    </xf>
    <xf numFmtId="164" fontId="16" fillId="34" borderId="42" xfId="47" applyFont="1" applyFill="1" applyBorder="1" applyAlignment="1" applyProtection="1">
      <alignment/>
      <protection hidden="1"/>
    </xf>
    <xf numFmtId="0" fontId="11" fillId="44" borderId="52" xfId="0" applyFont="1" applyFill="1" applyBorder="1" applyAlignment="1" applyProtection="1">
      <alignment/>
      <protection hidden="1"/>
    </xf>
    <xf numFmtId="0" fontId="13" fillId="44" borderId="54" xfId="0" applyFont="1" applyFill="1" applyBorder="1" applyAlignment="1" applyProtection="1">
      <alignment/>
      <protection hidden="1"/>
    </xf>
    <xf numFmtId="0" fontId="1" fillId="42" borderId="40" xfId="0" applyFont="1" applyFill="1" applyBorder="1" applyAlignment="1" applyProtection="1">
      <alignment/>
      <protection hidden="1"/>
    </xf>
    <xf numFmtId="0" fontId="1" fillId="42" borderId="46" xfId="0" applyFont="1" applyFill="1" applyBorder="1" applyAlignment="1" applyProtection="1">
      <alignment/>
      <protection hidden="1"/>
    </xf>
    <xf numFmtId="165" fontId="13" fillId="35" borderId="46" xfId="64" applyNumberFormat="1" applyFont="1" applyFill="1" applyBorder="1" applyAlignment="1" applyProtection="1">
      <alignment/>
      <protection hidden="1"/>
    </xf>
    <xf numFmtId="167" fontId="13" fillId="35" borderId="46" xfId="64" applyFont="1" applyFill="1" applyBorder="1" applyAlignment="1" applyProtection="1">
      <alignment/>
      <protection hidden="1"/>
    </xf>
    <xf numFmtId="167" fontId="11" fillId="42" borderId="46" xfId="64" applyFont="1" applyFill="1" applyBorder="1" applyAlignment="1" applyProtection="1">
      <alignment/>
      <protection hidden="1"/>
    </xf>
    <xf numFmtId="165" fontId="13" fillId="45" borderId="46" xfId="64" applyNumberFormat="1" applyFont="1" applyFill="1" applyBorder="1" applyAlignment="1" applyProtection="1">
      <alignment/>
      <protection hidden="1"/>
    </xf>
    <xf numFmtId="0" fontId="11" fillId="45" borderId="40" xfId="0" applyFont="1" applyFill="1" applyBorder="1" applyAlignment="1" applyProtection="1">
      <alignment/>
      <protection hidden="1"/>
    </xf>
    <xf numFmtId="0" fontId="11" fillId="45" borderId="46" xfId="0" applyFont="1" applyFill="1" applyBorder="1" applyAlignment="1" applyProtection="1">
      <alignment/>
      <protection hidden="1"/>
    </xf>
    <xf numFmtId="0" fontId="29" fillId="35" borderId="30" xfId="0" applyFont="1" applyFill="1" applyBorder="1" applyAlignment="1" applyProtection="1">
      <alignment horizontal="center" vertical="center"/>
      <protection hidden="1"/>
    </xf>
    <xf numFmtId="0" fontId="36" fillId="0" borderId="0" xfId="51" applyFont="1" applyBorder="1">
      <alignment/>
      <protection/>
    </xf>
    <xf numFmtId="0" fontId="36" fillId="0" borderId="40" xfId="51" applyFont="1" applyBorder="1">
      <alignment/>
      <protection/>
    </xf>
    <xf numFmtId="0" fontId="11" fillId="0" borderId="55" xfId="0" applyFont="1" applyBorder="1" applyAlignment="1" applyProtection="1">
      <alignment/>
      <protection hidden="1"/>
    </xf>
    <xf numFmtId="182" fontId="13" fillId="0" borderId="56" xfId="47" applyNumberFormat="1" applyFont="1" applyFill="1" applyBorder="1" applyAlignment="1" applyProtection="1">
      <alignment/>
      <protection hidden="1"/>
    </xf>
    <xf numFmtId="0" fontId="32" fillId="39" borderId="0" xfId="0" applyFont="1" applyFill="1" applyBorder="1" applyAlignment="1" applyProtection="1">
      <alignment/>
      <protection hidden="1"/>
    </xf>
    <xf numFmtId="0" fontId="11" fillId="39" borderId="40" xfId="0" applyFont="1" applyFill="1" applyBorder="1" applyAlignment="1" applyProtection="1">
      <alignment/>
      <protection hidden="1"/>
    </xf>
    <xf numFmtId="0" fontId="11" fillId="39" borderId="0" xfId="0" applyFont="1" applyFill="1" applyBorder="1" applyAlignment="1" applyProtection="1">
      <alignment/>
      <protection hidden="1"/>
    </xf>
    <xf numFmtId="0" fontId="13" fillId="39" borderId="0" xfId="0" applyFont="1" applyFill="1" applyBorder="1" applyAlignment="1" applyProtection="1">
      <alignment/>
      <protection hidden="1"/>
    </xf>
    <xf numFmtId="10" fontId="32" fillId="39" borderId="0" xfId="53" applyNumberFormat="1" applyFont="1" applyFill="1" applyBorder="1" applyAlignment="1" applyProtection="1">
      <alignment horizontal="right"/>
      <protection hidden="1"/>
    </xf>
    <xf numFmtId="0" fontId="13" fillId="46" borderId="48" xfId="0" applyFont="1" applyFill="1" applyBorder="1" applyAlignment="1" applyProtection="1">
      <alignment/>
      <protection hidden="1"/>
    </xf>
    <xf numFmtId="165" fontId="13" fillId="35" borderId="0" xfId="64" applyNumberFormat="1" applyFont="1" applyFill="1" applyBorder="1" applyAlignment="1" applyProtection="1">
      <alignment/>
      <protection hidden="1"/>
    </xf>
    <xf numFmtId="164" fontId="36" fillId="7" borderId="57" xfId="47" applyFont="1" applyFill="1" applyBorder="1" applyAlignment="1">
      <alignment horizontal="center" vertical="top" wrapText="1"/>
    </xf>
    <xf numFmtId="0" fontId="36" fillId="47" borderId="20" xfId="0" applyFont="1" applyFill="1" applyBorder="1" applyAlignment="1" applyProtection="1">
      <alignment horizontal="center"/>
      <protection hidden="1"/>
    </xf>
    <xf numFmtId="164" fontId="36" fillId="7" borderId="58" xfId="47" applyFont="1" applyFill="1" applyBorder="1" applyAlignment="1">
      <alignment horizontal="center" vertical="top" wrapText="1"/>
    </xf>
    <xf numFmtId="164" fontId="36" fillId="7" borderId="59" xfId="47" applyFont="1" applyFill="1" applyBorder="1" applyAlignment="1">
      <alignment horizontal="center" vertical="top" wrapText="1"/>
    </xf>
    <xf numFmtId="0" fontId="36" fillId="47" borderId="22" xfId="0" applyFont="1" applyFill="1" applyBorder="1" applyAlignment="1" applyProtection="1">
      <alignment horizontal="center"/>
      <protection hidden="1"/>
    </xf>
    <xf numFmtId="165" fontId="32" fillId="39" borderId="46" xfId="64" applyNumberFormat="1" applyFont="1" applyFill="1" applyBorder="1" applyAlignment="1" applyProtection="1">
      <alignment horizontal="right"/>
      <protection hidden="1"/>
    </xf>
    <xf numFmtId="10" fontId="32" fillId="39" borderId="0" xfId="53" applyNumberFormat="1" applyFont="1" applyFill="1" applyBorder="1" applyAlignment="1" applyProtection="1">
      <alignment horizontal="right"/>
      <protection hidden="1"/>
    </xf>
    <xf numFmtId="0" fontId="32" fillId="39" borderId="0" xfId="0" applyFont="1" applyFill="1" applyBorder="1" applyAlignment="1" applyProtection="1">
      <alignment/>
      <protection hidden="1"/>
    </xf>
    <xf numFmtId="0" fontId="32" fillId="35" borderId="4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/>
      <protection/>
    </xf>
    <xf numFmtId="0" fontId="32" fillId="35" borderId="0" xfId="0" applyFont="1" applyFill="1" applyBorder="1" applyAlignment="1" applyProtection="1">
      <alignment horizontal="center"/>
      <protection/>
    </xf>
    <xf numFmtId="165" fontId="31" fillId="35" borderId="0" xfId="0" applyNumberFormat="1" applyFont="1" applyFill="1" applyBorder="1" applyAlignment="1" applyProtection="1">
      <alignment horizontal="center"/>
      <protection/>
    </xf>
    <xf numFmtId="2" fontId="31" fillId="35" borderId="0" xfId="0" applyNumberFormat="1" applyFont="1" applyFill="1" applyBorder="1" applyAlignment="1" applyProtection="1">
      <alignment horizontal="center"/>
      <protection/>
    </xf>
    <xf numFmtId="9" fontId="31" fillId="35" borderId="40" xfId="53" applyFont="1" applyFill="1" applyBorder="1" applyAlignment="1" applyProtection="1">
      <alignment/>
      <protection hidden="1"/>
    </xf>
    <xf numFmtId="9" fontId="31" fillId="35" borderId="0" xfId="0" applyNumberFormat="1" applyFont="1" applyFill="1" applyBorder="1" applyAlignment="1" applyProtection="1">
      <alignment horizontal="center"/>
      <protection/>
    </xf>
    <xf numFmtId="0" fontId="31" fillId="39" borderId="0" xfId="0" applyFont="1" applyFill="1" applyBorder="1" applyAlignment="1" applyProtection="1">
      <alignment/>
      <protection/>
    </xf>
    <xf numFmtId="9" fontId="31" fillId="39" borderId="0" xfId="53" applyFont="1" applyFill="1" applyBorder="1" applyAlignment="1" applyProtection="1">
      <alignment/>
      <protection/>
    </xf>
    <xf numFmtId="165" fontId="32" fillId="35" borderId="0" xfId="64" applyNumberFormat="1" applyFont="1" applyFill="1" applyBorder="1" applyAlignment="1" applyProtection="1">
      <alignment horizontal="right"/>
      <protection hidden="1"/>
    </xf>
    <xf numFmtId="165" fontId="32" fillId="35" borderId="18" xfId="64" applyNumberFormat="1" applyFont="1" applyFill="1" applyBorder="1" applyAlignment="1" applyProtection="1">
      <alignment horizontal="right"/>
      <protection hidden="1"/>
    </xf>
    <xf numFmtId="165" fontId="32" fillId="35" borderId="42" xfId="64" applyNumberFormat="1" applyFont="1" applyFill="1" applyBorder="1" applyAlignment="1" applyProtection="1">
      <alignment horizontal="right"/>
      <protection hidden="1"/>
    </xf>
    <xf numFmtId="0" fontId="34" fillId="41" borderId="47" xfId="0" applyFont="1" applyFill="1" applyBorder="1" applyAlignment="1" applyProtection="1">
      <alignment/>
      <protection hidden="1"/>
    </xf>
    <xf numFmtId="9" fontId="32" fillId="41" borderId="48" xfId="53" applyFont="1" applyFill="1" applyBorder="1" applyAlignment="1" applyProtection="1">
      <alignment/>
      <protection hidden="1"/>
    </xf>
    <xf numFmtId="0" fontId="31" fillId="41" borderId="48" xfId="0" applyFont="1" applyFill="1" applyBorder="1" applyAlignment="1" applyProtection="1">
      <alignment/>
      <protection/>
    </xf>
    <xf numFmtId="10" fontId="32" fillId="41" borderId="48" xfId="53" applyNumberFormat="1" applyFont="1" applyFill="1" applyBorder="1" applyAlignment="1" applyProtection="1">
      <alignment horizontal="right"/>
      <protection hidden="1"/>
    </xf>
    <xf numFmtId="0" fontId="31" fillId="48" borderId="47" xfId="0" applyFont="1" applyFill="1" applyBorder="1" applyAlignment="1" applyProtection="1">
      <alignment/>
      <protection hidden="1"/>
    </xf>
    <xf numFmtId="0" fontId="32" fillId="48" borderId="48" xfId="0" applyFont="1" applyFill="1" applyBorder="1" applyAlignment="1" applyProtection="1">
      <alignment/>
      <protection hidden="1"/>
    </xf>
    <xf numFmtId="0" fontId="31" fillId="48" borderId="48" xfId="0" applyFont="1" applyFill="1" applyBorder="1" applyAlignment="1" applyProtection="1">
      <alignment/>
      <protection hidden="1"/>
    </xf>
    <xf numFmtId="0" fontId="31" fillId="43" borderId="40" xfId="0" applyFont="1" applyFill="1" applyBorder="1" applyAlignment="1" applyProtection="1">
      <alignment/>
      <protection hidden="1"/>
    </xf>
    <xf numFmtId="165" fontId="31" fillId="43" borderId="0" xfId="0" applyNumberFormat="1" applyFont="1" applyFill="1" applyBorder="1" applyAlignment="1" applyProtection="1">
      <alignment horizontal="center"/>
      <protection hidden="1"/>
    </xf>
    <xf numFmtId="9" fontId="32" fillId="43" borderId="0" xfId="53" applyFont="1" applyFill="1" applyBorder="1" applyAlignment="1" applyProtection="1">
      <alignment/>
      <protection hidden="1"/>
    </xf>
    <xf numFmtId="0" fontId="31" fillId="43" borderId="0" xfId="0" applyFont="1" applyFill="1" applyBorder="1" applyAlignment="1" applyProtection="1">
      <alignment/>
      <protection hidden="1"/>
    </xf>
    <xf numFmtId="0" fontId="31" fillId="43" borderId="0" xfId="0" applyFont="1" applyFill="1" applyBorder="1" applyAlignment="1" applyProtection="1">
      <alignment/>
      <protection/>
    </xf>
    <xf numFmtId="0" fontId="31" fillId="43" borderId="0" xfId="0" applyFont="1" applyFill="1" applyBorder="1" applyAlignment="1" applyProtection="1">
      <alignment horizontal="center"/>
      <protection/>
    </xf>
    <xf numFmtId="10" fontId="32" fillId="43" borderId="0" xfId="53" applyNumberFormat="1" applyFont="1" applyFill="1" applyBorder="1" applyAlignment="1" applyProtection="1">
      <alignment horizontal="right"/>
      <protection hidden="1"/>
    </xf>
    <xf numFmtId="164" fontId="36" fillId="7" borderId="60" xfId="47" applyFont="1" applyFill="1" applyBorder="1" applyAlignment="1">
      <alignment horizontal="center" vertical="top" wrapText="1"/>
    </xf>
    <xf numFmtId="0" fontId="0" fillId="35" borderId="22" xfId="0" applyFill="1" applyBorder="1" applyAlignment="1" applyProtection="1">
      <alignment horizontal="center"/>
      <protection hidden="1"/>
    </xf>
    <xf numFmtId="164" fontId="36" fillId="7" borderId="61" xfId="47" applyFont="1" applyFill="1" applyBorder="1" applyAlignment="1">
      <alignment horizontal="center" vertical="top" wrapText="1"/>
    </xf>
    <xf numFmtId="0" fontId="36" fillId="47" borderId="62" xfId="0" applyFont="1" applyFill="1" applyBorder="1" applyAlignment="1" applyProtection="1">
      <alignment horizontal="center"/>
      <protection hidden="1"/>
    </xf>
    <xf numFmtId="164" fontId="37" fillId="13" borderId="63" xfId="51" applyNumberFormat="1" applyFont="1" applyFill="1" applyBorder="1">
      <alignment/>
      <protection/>
    </xf>
    <xf numFmtId="0" fontId="37" fillId="0" borderId="0" xfId="51" applyFont="1" applyBorder="1" applyAlignment="1">
      <alignment horizontal="center" vertical="center"/>
      <protection/>
    </xf>
    <xf numFmtId="0" fontId="0" fillId="35" borderId="57" xfId="0" applyFill="1" applyBorder="1" applyAlignment="1" applyProtection="1">
      <alignment horizontal="center"/>
      <protection hidden="1"/>
    </xf>
    <xf numFmtId="0" fontId="29" fillId="35" borderId="64" xfId="0" applyFont="1" applyFill="1" applyBorder="1" applyAlignment="1" applyProtection="1">
      <alignment horizontal="center" vertical="center"/>
      <protection hidden="1"/>
    </xf>
    <xf numFmtId="0" fontId="0" fillId="35" borderId="59" xfId="0" applyFill="1" applyBorder="1" applyAlignment="1" applyProtection="1">
      <alignment horizontal="center"/>
      <protection hidden="1"/>
    </xf>
    <xf numFmtId="0" fontId="0" fillId="0" borderId="0" xfId="51" applyBorder="1">
      <alignment/>
      <protection/>
    </xf>
    <xf numFmtId="183" fontId="0" fillId="0" borderId="37" xfId="0" applyNumberFormat="1" applyBorder="1" applyAlignment="1" applyProtection="1">
      <alignment/>
      <protection hidden="1"/>
    </xf>
    <xf numFmtId="164" fontId="0" fillId="39" borderId="0" xfId="47" applyFill="1" applyBorder="1" applyAlignment="1" applyProtection="1">
      <alignment horizontal="left"/>
      <protection hidden="1"/>
    </xf>
    <xf numFmtId="2" fontId="11" fillId="34" borderId="46" xfId="0" applyNumberFormat="1" applyFont="1" applyFill="1" applyBorder="1" applyAlignment="1" applyProtection="1">
      <alignment/>
      <protection hidden="1"/>
    </xf>
    <xf numFmtId="164" fontId="37" fillId="13" borderId="49" xfId="47" applyFont="1" applyFill="1" applyBorder="1" applyAlignment="1">
      <alignment/>
    </xf>
    <xf numFmtId="0" fontId="36" fillId="0" borderId="46" xfId="51" applyFont="1" applyBorder="1">
      <alignment/>
      <protection/>
    </xf>
    <xf numFmtId="0" fontId="36" fillId="49" borderId="0" xfId="51" applyFont="1" applyFill="1" applyBorder="1">
      <alignment/>
      <protection/>
    </xf>
    <xf numFmtId="0" fontId="38" fillId="13" borderId="47" xfId="51" applyFont="1" applyFill="1" applyBorder="1" applyAlignment="1">
      <alignment horizontal="center"/>
      <protection/>
    </xf>
    <xf numFmtId="0" fontId="38" fillId="13" borderId="48" xfId="51" applyFont="1" applyFill="1" applyBorder="1" applyAlignment="1">
      <alignment horizontal="center"/>
      <protection/>
    </xf>
    <xf numFmtId="0" fontId="38" fillId="13" borderId="49" xfId="51" applyFont="1" applyFill="1" applyBorder="1" applyAlignment="1">
      <alignment horizontal="center"/>
      <protection/>
    </xf>
    <xf numFmtId="0" fontId="37" fillId="0" borderId="47" xfId="51" applyFont="1" applyBorder="1" applyAlignment="1">
      <alignment horizontal="center" vertical="center"/>
      <protection/>
    </xf>
    <xf numFmtId="0" fontId="37" fillId="0" borderId="48" xfId="51" applyFont="1" applyBorder="1" applyAlignment="1">
      <alignment horizontal="center" vertical="center"/>
      <protection/>
    </xf>
    <xf numFmtId="0" fontId="37" fillId="0" borderId="49" xfId="51" applyFont="1" applyBorder="1" applyAlignment="1">
      <alignment horizontal="center" vertical="center"/>
      <protection/>
    </xf>
    <xf numFmtId="0" fontId="38" fillId="13" borderId="44" xfId="51" applyFont="1" applyFill="1" applyBorder="1" applyAlignment="1">
      <alignment horizontal="center"/>
      <protection/>
    </xf>
    <xf numFmtId="0" fontId="38" fillId="13" borderId="45" xfId="51" applyFont="1" applyFill="1" applyBorder="1" applyAlignment="1">
      <alignment horizontal="center"/>
      <protection/>
    </xf>
    <xf numFmtId="0" fontId="38" fillId="13" borderId="65" xfId="51" applyFont="1" applyFill="1" applyBorder="1" applyAlignment="1">
      <alignment horizontal="center"/>
      <protection/>
    </xf>
    <xf numFmtId="0" fontId="4" fillId="19" borderId="66" xfId="51" applyFont="1" applyFill="1" applyBorder="1" applyAlignment="1">
      <alignment horizontal="center" vertical="center"/>
      <protection/>
    </xf>
    <xf numFmtId="0" fontId="4" fillId="19" borderId="67" xfId="51" applyFont="1" applyFill="1" applyBorder="1" applyAlignment="1">
      <alignment horizontal="center" vertical="center"/>
      <protection/>
    </xf>
    <xf numFmtId="0" fontId="4" fillId="19" borderId="68" xfId="51" applyFont="1" applyFill="1" applyBorder="1" applyAlignment="1">
      <alignment horizontal="center" vertical="center"/>
      <protection/>
    </xf>
    <xf numFmtId="0" fontId="37" fillId="50" borderId="69" xfId="51" applyFont="1" applyFill="1" applyBorder="1" applyAlignment="1">
      <alignment horizontal="center" vertical="top" wrapText="1"/>
      <protection/>
    </xf>
    <xf numFmtId="0" fontId="37" fillId="50" borderId="70" xfId="51" applyFont="1" applyFill="1" applyBorder="1" applyAlignment="1">
      <alignment horizontal="center" vertical="top" wrapText="1"/>
      <protection/>
    </xf>
    <xf numFmtId="0" fontId="37" fillId="50" borderId="71" xfId="51" applyFont="1" applyFill="1" applyBorder="1" applyAlignment="1">
      <alignment horizontal="center" vertical="top" wrapText="1"/>
      <protection/>
    </xf>
    <xf numFmtId="0" fontId="37" fillId="50" borderId="72" xfId="51" applyFont="1" applyFill="1" applyBorder="1" applyAlignment="1">
      <alignment horizontal="center" vertical="top" wrapText="1"/>
      <protection/>
    </xf>
    <xf numFmtId="0" fontId="37" fillId="50" borderId="73" xfId="51" applyFont="1" applyFill="1" applyBorder="1" applyAlignment="1">
      <alignment horizontal="left" vertical="top" wrapText="1" indent="1"/>
      <protection/>
    </xf>
    <xf numFmtId="0" fontId="37" fillId="50" borderId="74" xfId="51" applyFont="1" applyFill="1" applyBorder="1" applyAlignment="1">
      <alignment horizontal="left" vertical="top" wrapText="1" indent="1"/>
      <protection/>
    </xf>
    <xf numFmtId="165" fontId="32" fillId="39" borderId="75" xfId="64" applyNumberFormat="1" applyFont="1" applyFill="1" applyBorder="1" applyAlignment="1" applyProtection="1">
      <alignment horizontal="right"/>
      <protection hidden="1"/>
    </xf>
    <xf numFmtId="165" fontId="32" fillId="39" borderId="46" xfId="64" applyNumberFormat="1" applyFont="1" applyFill="1" applyBorder="1" applyAlignment="1" applyProtection="1">
      <alignment horizontal="right"/>
      <protection hidden="1"/>
    </xf>
    <xf numFmtId="165" fontId="32" fillId="41" borderId="47" xfId="64" applyNumberFormat="1" applyFont="1" applyFill="1" applyBorder="1" applyAlignment="1" applyProtection="1">
      <alignment horizontal="center"/>
      <protection hidden="1"/>
    </xf>
    <xf numFmtId="165" fontId="32" fillId="41" borderId="48" xfId="64" applyNumberFormat="1" applyFont="1" applyFill="1" applyBorder="1" applyAlignment="1" applyProtection="1">
      <alignment horizontal="center"/>
      <protection hidden="1"/>
    </xf>
    <xf numFmtId="165" fontId="32" fillId="41" borderId="49" xfId="64" applyNumberFormat="1" applyFont="1" applyFill="1" applyBorder="1" applyAlignment="1" applyProtection="1">
      <alignment horizontal="center"/>
      <protection hidden="1"/>
    </xf>
    <xf numFmtId="165" fontId="31" fillId="35" borderId="0" xfId="0" applyNumberFormat="1" applyFont="1" applyFill="1" applyBorder="1" applyAlignment="1" applyProtection="1">
      <alignment horizontal="center"/>
      <protection/>
    </xf>
    <xf numFmtId="165" fontId="31" fillId="35" borderId="75" xfId="64" applyNumberFormat="1" applyFont="1" applyFill="1" applyBorder="1" applyAlignment="1" applyProtection="1">
      <alignment horizontal="right"/>
      <protection hidden="1"/>
    </xf>
    <xf numFmtId="165" fontId="31" fillId="35" borderId="46" xfId="64" applyNumberFormat="1" applyFont="1" applyFill="1" applyBorder="1" applyAlignment="1" applyProtection="1">
      <alignment horizontal="right"/>
      <protection hidden="1"/>
    </xf>
    <xf numFmtId="165" fontId="32" fillId="43" borderId="75" xfId="64" applyNumberFormat="1" applyFont="1" applyFill="1" applyBorder="1" applyAlignment="1" applyProtection="1">
      <alignment horizontal="right"/>
      <protection hidden="1"/>
    </xf>
    <xf numFmtId="165" fontId="32" fillId="43" borderId="46" xfId="64" applyNumberFormat="1" applyFont="1" applyFill="1" applyBorder="1" applyAlignment="1" applyProtection="1">
      <alignment horizontal="right"/>
      <protection hidden="1"/>
    </xf>
    <xf numFmtId="165" fontId="32" fillId="41" borderId="76" xfId="64" applyNumberFormat="1" applyFont="1" applyFill="1" applyBorder="1" applyAlignment="1" applyProtection="1">
      <alignment horizontal="right"/>
      <protection hidden="1"/>
    </xf>
    <xf numFmtId="165" fontId="32" fillId="41" borderId="49" xfId="64" applyNumberFormat="1" applyFont="1" applyFill="1" applyBorder="1" applyAlignment="1" applyProtection="1">
      <alignment horizontal="right"/>
      <protection hidden="1"/>
    </xf>
    <xf numFmtId="9" fontId="11" fillId="0" borderId="0" xfId="53" applyFont="1" applyFill="1" applyBorder="1" applyAlignment="1" applyProtection="1">
      <alignment/>
      <protection hidden="1"/>
    </xf>
    <xf numFmtId="9" fontId="11" fillId="0" borderId="0" xfId="53" applyFont="1" applyFill="1" applyBorder="1" applyAlignment="1" applyProtection="1">
      <alignment horizontal="left"/>
      <protection hidden="1"/>
    </xf>
    <xf numFmtId="9" fontId="31" fillId="35" borderId="45" xfId="53" applyFont="1" applyFill="1" applyBorder="1" applyAlignment="1" applyProtection="1">
      <alignment/>
      <protection hidden="1"/>
    </xf>
    <xf numFmtId="9" fontId="31" fillId="35" borderId="0" xfId="53" applyFont="1" applyFill="1" applyBorder="1" applyAlignment="1" applyProtection="1">
      <alignment/>
      <protection hidden="1"/>
    </xf>
    <xf numFmtId="0" fontId="32" fillId="39" borderId="0" xfId="0" applyFont="1" applyFill="1" applyBorder="1" applyAlignment="1" applyProtection="1">
      <alignment/>
      <protection hidden="1"/>
    </xf>
    <xf numFmtId="0" fontId="33" fillId="41" borderId="48" xfId="0" applyFont="1" applyFill="1" applyBorder="1" applyAlignment="1" applyProtection="1">
      <alignment horizontal="left" vertical="center"/>
      <protection hidden="1"/>
    </xf>
    <xf numFmtId="167" fontId="31" fillId="35" borderId="75" xfId="64" applyFont="1" applyFill="1" applyBorder="1" applyAlignment="1" applyProtection="1">
      <alignment horizontal="center"/>
      <protection hidden="1"/>
    </xf>
    <xf numFmtId="167" fontId="31" fillId="35" borderId="46" xfId="64" applyFont="1" applyFill="1" applyBorder="1" applyAlignment="1" applyProtection="1">
      <alignment horizontal="center"/>
      <protection hidden="1"/>
    </xf>
    <xf numFmtId="167" fontId="31" fillId="35" borderId="0" xfId="64" applyFont="1" applyFill="1" applyBorder="1" applyAlignment="1" applyProtection="1">
      <alignment horizontal="right"/>
      <protection hidden="1"/>
    </xf>
    <xf numFmtId="167" fontId="31" fillId="35" borderId="46" xfId="64" applyFont="1" applyFill="1" applyBorder="1" applyAlignment="1" applyProtection="1">
      <alignment horizontal="right"/>
      <protection hidden="1"/>
    </xf>
    <xf numFmtId="9" fontId="11" fillId="0" borderId="13" xfId="53" applyFont="1" applyFill="1" applyBorder="1" applyAlignment="1" applyProtection="1">
      <alignment/>
      <protection hidden="1"/>
    </xf>
    <xf numFmtId="0" fontId="32" fillId="41" borderId="77" xfId="0" applyFont="1" applyFill="1" applyBorder="1" applyAlignment="1" applyProtection="1">
      <alignment horizontal="center"/>
      <protection hidden="1"/>
    </xf>
    <xf numFmtId="0" fontId="32" fillId="41" borderId="78" xfId="0" applyFont="1" applyFill="1" applyBorder="1" applyAlignment="1" applyProtection="1">
      <alignment horizontal="center"/>
      <protection hidden="1"/>
    </xf>
    <xf numFmtId="0" fontId="32" fillId="41" borderId="79" xfId="0" applyFont="1" applyFill="1" applyBorder="1" applyAlignment="1" applyProtection="1">
      <alignment horizontal="center"/>
      <protection hidden="1"/>
    </xf>
    <xf numFmtId="2" fontId="31" fillId="35" borderId="80" xfId="0" applyNumberFormat="1" applyFont="1" applyFill="1" applyBorder="1" applyAlignment="1" applyProtection="1">
      <alignment/>
      <protection hidden="1"/>
    </xf>
    <xf numFmtId="2" fontId="31" fillId="35" borderId="53" xfId="0" applyNumberFormat="1" applyFont="1" applyFill="1" applyBorder="1" applyAlignment="1" applyProtection="1">
      <alignment/>
      <protection hidden="1"/>
    </xf>
    <xf numFmtId="2" fontId="31" fillId="35" borderId="75" xfId="0" applyNumberFormat="1" applyFont="1" applyFill="1" applyBorder="1" applyAlignment="1" applyProtection="1">
      <alignment/>
      <protection hidden="1"/>
    </xf>
    <xf numFmtId="2" fontId="31" fillId="35" borderId="46" xfId="0" applyNumberFormat="1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32" fillId="41" borderId="81" xfId="0" applyFont="1" applyFill="1" applyBorder="1" applyAlignment="1" applyProtection="1">
      <alignment horizontal="center"/>
      <protection hidden="1"/>
    </xf>
    <xf numFmtId="0" fontId="32" fillId="41" borderId="82" xfId="0" applyFont="1" applyFill="1" applyBorder="1" applyAlignment="1" applyProtection="1">
      <alignment horizontal="center"/>
      <protection hidden="1"/>
    </xf>
    <xf numFmtId="0" fontId="32" fillId="41" borderId="83" xfId="0" applyFont="1" applyFill="1" applyBorder="1" applyAlignment="1" applyProtection="1">
      <alignment horizontal="center"/>
      <protection hidden="1"/>
    </xf>
    <xf numFmtId="10" fontId="31" fillId="35" borderId="0" xfId="53" applyNumberFormat="1" applyFont="1" applyFill="1" applyBorder="1" applyAlignment="1" applyProtection="1">
      <alignment horizontal="right"/>
      <protection hidden="1"/>
    </xf>
    <xf numFmtId="0" fontId="2" fillId="51" borderId="36" xfId="0" applyFont="1" applyFill="1" applyBorder="1" applyAlignment="1" applyProtection="1">
      <alignment horizontal="left" vertical="center"/>
      <protection hidden="1"/>
    </xf>
    <xf numFmtId="0" fontId="3" fillId="51" borderId="33" xfId="0" applyFont="1" applyFill="1" applyBorder="1" applyAlignment="1" applyProtection="1">
      <alignment horizontal="left" vertical="center"/>
      <protection hidden="1"/>
    </xf>
    <xf numFmtId="0" fontId="4" fillId="34" borderId="15" xfId="0" applyFont="1" applyFill="1" applyBorder="1" applyAlignment="1" applyProtection="1">
      <alignment horizontal="left" vertical="top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166" fontId="9" fillId="34" borderId="10" xfId="0" applyNumberFormat="1" applyFont="1" applyFill="1" applyBorder="1" applyAlignment="1" applyProtection="1">
      <alignment horizontal="center"/>
      <protection hidden="1"/>
    </xf>
    <xf numFmtId="0" fontId="4" fillId="51" borderId="84" xfId="0" applyFont="1" applyFill="1" applyBorder="1" applyAlignment="1" applyProtection="1">
      <alignment horizontal="center"/>
      <protection hidden="1"/>
    </xf>
    <xf numFmtId="0" fontId="4" fillId="51" borderId="85" xfId="0" applyFont="1" applyFill="1" applyBorder="1" applyAlignment="1" applyProtection="1">
      <alignment horizontal="center"/>
      <protection hidden="1"/>
    </xf>
    <xf numFmtId="0" fontId="4" fillId="51" borderId="86" xfId="0" applyFont="1" applyFill="1" applyBorder="1" applyAlignment="1" applyProtection="1">
      <alignment horizontal="center"/>
      <protection hidden="1"/>
    </xf>
    <xf numFmtId="0" fontId="11" fillId="39" borderId="40" xfId="0" applyFont="1" applyFill="1" applyBorder="1" applyAlignment="1" applyProtection="1">
      <alignment/>
      <protection hidden="1"/>
    </xf>
    <xf numFmtId="0" fontId="11" fillId="39" borderId="15" xfId="0" applyFont="1" applyFill="1" applyBorder="1" applyAlignment="1" applyProtection="1">
      <alignment/>
      <protection hidden="1"/>
    </xf>
    <xf numFmtId="0" fontId="11" fillId="39" borderId="0" xfId="0" applyFont="1" applyFill="1" applyBorder="1" applyAlignment="1" applyProtection="1">
      <alignment/>
      <protection hidden="1"/>
    </xf>
    <xf numFmtId="0" fontId="0" fillId="45" borderId="39" xfId="0" applyFont="1" applyFill="1" applyBorder="1" applyAlignment="1" applyProtection="1">
      <alignment horizontal="left" wrapText="1"/>
      <protection locked="0"/>
    </xf>
    <xf numFmtId="0" fontId="0" fillId="45" borderId="87" xfId="0" applyFont="1" applyFill="1" applyBorder="1" applyAlignment="1" applyProtection="1">
      <alignment horizontal="left" wrapText="1"/>
      <protection locked="0"/>
    </xf>
    <xf numFmtId="0" fontId="0" fillId="45" borderId="88" xfId="0" applyFont="1" applyFill="1" applyBorder="1" applyAlignment="1" applyProtection="1">
      <alignment horizontal="left" wrapText="1"/>
      <protection locked="0"/>
    </xf>
    <xf numFmtId="0" fontId="14" fillId="35" borderId="0" xfId="0" applyFont="1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 horizontal="left"/>
      <protection hidden="1"/>
    </xf>
    <xf numFmtId="0" fontId="13" fillId="51" borderId="89" xfId="0" applyFont="1" applyFill="1" applyBorder="1" applyAlignment="1" applyProtection="1">
      <alignment horizontal="center"/>
      <protection hidden="1"/>
    </xf>
    <xf numFmtId="0" fontId="13" fillId="51" borderId="35" xfId="0" applyFont="1" applyFill="1" applyBorder="1" applyAlignment="1" applyProtection="1">
      <alignment horizontal="center"/>
      <protection hidden="1"/>
    </xf>
    <xf numFmtId="0" fontId="13" fillId="51" borderId="90" xfId="0" applyFont="1" applyFill="1" applyBorder="1" applyAlignment="1" applyProtection="1">
      <alignment horizontal="center"/>
      <protection hidden="1"/>
    </xf>
    <xf numFmtId="165" fontId="13" fillId="34" borderId="35" xfId="0" applyNumberFormat="1" applyFont="1" applyFill="1" applyBorder="1" applyAlignment="1" applyProtection="1">
      <alignment horizontal="center"/>
      <protection hidden="1"/>
    </xf>
    <xf numFmtId="165" fontId="13" fillId="34" borderId="90" xfId="0" applyNumberFormat="1" applyFont="1" applyFill="1" applyBorder="1" applyAlignment="1" applyProtection="1">
      <alignment horizontal="center"/>
      <protection hidden="1"/>
    </xf>
    <xf numFmtId="0" fontId="11" fillId="35" borderId="14" xfId="0" applyFont="1" applyFill="1" applyBorder="1" applyAlignment="1" applyProtection="1">
      <alignment horizontal="center"/>
      <protection hidden="1"/>
    </xf>
    <xf numFmtId="0" fontId="11" fillId="35" borderId="53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 horizont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11" fillId="35" borderId="46" xfId="0" applyFont="1" applyFill="1" applyBorder="1" applyAlignment="1" applyProtection="1">
      <alignment horizontal="center"/>
      <protection hidden="1"/>
    </xf>
    <xf numFmtId="0" fontId="11" fillId="34" borderId="18" xfId="0" applyFont="1" applyFill="1" applyBorder="1" applyAlignment="1" applyProtection="1">
      <alignment horizontal="center"/>
      <protection hidden="1"/>
    </xf>
    <xf numFmtId="171" fontId="11" fillId="34" borderId="11" xfId="0" applyNumberFormat="1" applyFont="1" applyFill="1" applyBorder="1" applyAlignment="1" applyProtection="1">
      <alignment horizontal="center"/>
      <protection hidden="1"/>
    </xf>
    <xf numFmtId="165" fontId="13" fillId="34" borderId="35" xfId="64" applyNumberFormat="1" applyFont="1" applyFill="1" applyBorder="1" applyAlignment="1" applyProtection="1">
      <alignment horizontal="center"/>
      <protection hidden="1"/>
    </xf>
    <xf numFmtId="165" fontId="13" fillId="34" borderId="90" xfId="64" applyNumberFormat="1" applyFont="1" applyFill="1" applyBorder="1" applyAlignment="1" applyProtection="1">
      <alignment horizontal="center"/>
      <protection hidden="1"/>
    </xf>
    <xf numFmtId="0" fontId="13" fillId="51" borderId="91" xfId="0" applyFont="1" applyFill="1" applyBorder="1" applyAlignment="1" applyProtection="1">
      <alignment horizontal="center"/>
      <protection hidden="1"/>
    </xf>
    <xf numFmtId="0" fontId="13" fillId="51" borderId="36" xfId="0" applyFont="1" applyFill="1" applyBorder="1" applyAlignment="1" applyProtection="1">
      <alignment horizontal="center"/>
      <protection hidden="1"/>
    </xf>
    <xf numFmtId="0" fontId="13" fillId="51" borderId="92" xfId="0" applyFont="1" applyFill="1" applyBorder="1" applyAlignment="1" applyProtection="1">
      <alignment horizontal="center"/>
      <protection hidden="1"/>
    </xf>
    <xf numFmtId="0" fontId="13" fillId="39" borderId="0" xfId="0" applyFont="1" applyFill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 horizontal="right"/>
      <protection hidden="1"/>
    </xf>
    <xf numFmtId="0" fontId="13" fillId="35" borderId="10" xfId="0" applyFont="1" applyFill="1" applyBorder="1" applyAlignment="1" applyProtection="1">
      <alignment horizontal="center"/>
      <protection hidden="1"/>
    </xf>
    <xf numFmtId="0" fontId="13" fillId="35" borderId="46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/>
      <protection hidden="1" locked="0"/>
    </xf>
    <xf numFmtId="167" fontId="11" fillId="34" borderId="10" xfId="64" applyFont="1" applyFill="1" applyBorder="1" applyAlignment="1" applyProtection="1">
      <alignment horizontal="center"/>
      <protection hidden="1"/>
    </xf>
    <xf numFmtId="167" fontId="11" fillId="34" borderId="46" xfId="64" applyFont="1" applyFill="1" applyBorder="1" applyAlignment="1" applyProtection="1">
      <alignment horizontal="center"/>
      <protection hidden="1"/>
    </xf>
    <xf numFmtId="165" fontId="13" fillId="34" borderId="11" xfId="64" applyNumberFormat="1" applyFont="1" applyFill="1" applyBorder="1" applyAlignment="1" applyProtection="1">
      <alignment horizontal="center"/>
      <protection hidden="1"/>
    </xf>
    <xf numFmtId="165" fontId="13" fillId="34" borderId="42" xfId="64" applyNumberFormat="1" applyFont="1" applyFill="1" applyBorder="1" applyAlignment="1" applyProtection="1">
      <alignment horizontal="center"/>
      <protection hidden="1"/>
    </xf>
    <xf numFmtId="0" fontId="13" fillId="52" borderId="89" xfId="0" applyFont="1" applyFill="1" applyBorder="1" applyAlignment="1" applyProtection="1">
      <alignment horizontal="center"/>
      <protection hidden="1" locked="0"/>
    </xf>
    <xf numFmtId="0" fontId="13" fillId="52" borderId="35" xfId="0" applyFont="1" applyFill="1" applyBorder="1" applyAlignment="1" applyProtection="1">
      <alignment horizontal="center"/>
      <protection hidden="1" locked="0"/>
    </xf>
    <xf numFmtId="0" fontId="13" fillId="52" borderId="90" xfId="0" applyFont="1" applyFill="1" applyBorder="1" applyAlignment="1" applyProtection="1">
      <alignment horizontal="center"/>
      <protection hidden="1" locked="0"/>
    </xf>
    <xf numFmtId="10" fontId="32" fillId="39" borderId="0" xfId="53" applyNumberFormat="1" applyFont="1" applyFill="1" applyBorder="1" applyAlignment="1" applyProtection="1">
      <alignment horizontal="right"/>
      <protection hidden="1"/>
    </xf>
    <xf numFmtId="167" fontId="32" fillId="35" borderId="75" xfId="64" applyFont="1" applyFill="1" applyBorder="1" applyAlignment="1" applyProtection="1">
      <alignment horizontal="center"/>
      <protection hidden="1"/>
    </xf>
    <xf numFmtId="167" fontId="32" fillId="35" borderId="46" xfId="64" applyFont="1" applyFill="1" applyBorder="1" applyAlignment="1" applyProtection="1">
      <alignment horizontal="center"/>
      <protection hidden="1"/>
    </xf>
    <xf numFmtId="164" fontId="13" fillId="44" borderId="19" xfId="0" applyNumberFormat="1" applyFont="1" applyFill="1" applyBorder="1" applyAlignment="1" applyProtection="1">
      <alignment horizontal="center"/>
      <protection hidden="1"/>
    </xf>
    <xf numFmtId="165" fontId="13" fillId="44" borderId="19" xfId="0" applyNumberFormat="1" applyFont="1" applyFill="1" applyBorder="1" applyAlignment="1" applyProtection="1">
      <alignment horizontal="center"/>
      <protection hidden="1"/>
    </xf>
    <xf numFmtId="165" fontId="13" fillId="35" borderId="10" xfId="64" applyNumberFormat="1" applyFont="1" applyFill="1" applyBorder="1" applyAlignment="1" applyProtection="1">
      <alignment/>
      <protection hidden="1"/>
    </xf>
    <xf numFmtId="165" fontId="13" fillId="35" borderId="46" xfId="64" applyNumberFormat="1" applyFont="1" applyFill="1" applyBorder="1" applyAlignment="1" applyProtection="1">
      <alignment/>
      <protection hidden="1"/>
    </xf>
    <xf numFmtId="167" fontId="11" fillId="35" borderId="10" xfId="64" applyFont="1" applyFill="1" applyBorder="1" applyAlignment="1" applyProtection="1">
      <alignment/>
      <protection hidden="1"/>
    </xf>
    <xf numFmtId="167" fontId="11" fillId="35" borderId="46" xfId="64" applyFont="1" applyFill="1" applyBorder="1" applyAlignment="1" applyProtection="1">
      <alignment/>
      <protection hidden="1"/>
    </xf>
    <xf numFmtId="165" fontId="13" fillId="35" borderId="10" xfId="0" applyNumberFormat="1" applyFont="1" applyFill="1" applyBorder="1" applyAlignment="1">
      <alignment/>
    </xf>
    <xf numFmtId="165" fontId="13" fillId="35" borderId="46" xfId="0" applyNumberFormat="1" applyFont="1" applyFill="1" applyBorder="1" applyAlignment="1">
      <alignment/>
    </xf>
    <xf numFmtId="0" fontId="32" fillId="41" borderId="93" xfId="0" applyFont="1" applyFill="1" applyBorder="1" applyAlignment="1" applyProtection="1">
      <alignment horizontal="center"/>
      <protection hidden="1"/>
    </xf>
    <xf numFmtId="0" fontId="32" fillId="41" borderId="94" xfId="0" applyFont="1" applyFill="1" applyBorder="1" applyAlignment="1" applyProtection="1">
      <alignment horizontal="center"/>
      <protection hidden="1"/>
    </xf>
    <xf numFmtId="0" fontId="32" fillId="41" borderId="95" xfId="0" applyFont="1" applyFill="1" applyBorder="1" applyAlignment="1" applyProtection="1">
      <alignment horizontal="center"/>
      <protection hidden="1"/>
    </xf>
    <xf numFmtId="2" fontId="4" fillId="40" borderId="0" xfId="0" applyNumberFormat="1" applyFont="1" applyFill="1" applyBorder="1" applyAlignment="1" applyProtection="1">
      <alignment horizontal="right"/>
      <protection hidden="1"/>
    </xf>
    <xf numFmtId="2" fontId="4" fillId="40" borderId="46" xfId="0" applyNumberFormat="1" applyFont="1" applyFill="1" applyBorder="1" applyAlignment="1" applyProtection="1">
      <alignment horizontal="right"/>
      <protection hidden="1"/>
    </xf>
    <xf numFmtId="0" fontId="13" fillId="46" borderId="48" xfId="0" applyFont="1" applyFill="1" applyBorder="1" applyAlignment="1" applyProtection="1">
      <alignment/>
      <protection hidden="1"/>
    </xf>
    <xf numFmtId="2" fontId="32" fillId="35" borderId="75" xfId="0" applyNumberFormat="1" applyFont="1" applyFill="1" applyBorder="1" applyAlignment="1" applyProtection="1">
      <alignment/>
      <protection hidden="1"/>
    </xf>
    <xf numFmtId="2" fontId="32" fillId="35" borderId="46" xfId="0" applyNumberFormat="1" applyFont="1" applyFill="1" applyBorder="1" applyAlignment="1" applyProtection="1">
      <alignment/>
      <protection hidden="1"/>
    </xf>
    <xf numFmtId="2" fontId="31" fillId="35" borderId="0" xfId="0" applyNumberFormat="1" applyFont="1" applyFill="1" applyBorder="1" applyAlignment="1" applyProtection="1">
      <alignment horizontal="right"/>
      <protection hidden="1"/>
    </xf>
    <xf numFmtId="2" fontId="31" fillId="35" borderId="46" xfId="0" applyNumberFormat="1" applyFont="1" applyFill="1" applyBorder="1" applyAlignment="1" applyProtection="1">
      <alignment horizontal="right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2" fontId="31" fillId="35" borderId="13" xfId="0" applyNumberFormat="1" applyFont="1" applyFill="1" applyBorder="1" applyAlignment="1" applyProtection="1">
      <alignment horizontal="right"/>
      <protection hidden="1"/>
    </xf>
    <xf numFmtId="2" fontId="31" fillId="35" borderId="53" xfId="0" applyNumberFormat="1" applyFont="1" applyFill="1" applyBorder="1" applyAlignment="1" applyProtection="1">
      <alignment horizontal="right"/>
      <protection hidden="1"/>
    </xf>
    <xf numFmtId="0" fontId="31" fillId="35" borderId="0" xfId="0" applyFont="1" applyFill="1" applyBorder="1" applyAlignment="1">
      <alignment horizontal="left" vertical="center"/>
    </xf>
    <xf numFmtId="165" fontId="32" fillId="35" borderId="75" xfId="64" applyNumberFormat="1" applyFont="1" applyFill="1" applyBorder="1" applyAlignment="1" applyProtection="1">
      <alignment horizontal="center"/>
      <protection hidden="1"/>
    </xf>
    <xf numFmtId="165" fontId="32" fillId="39" borderId="46" xfId="64" applyNumberFormat="1" applyFont="1" applyFill="1" applyBorder="1" applyAlignment="1" applyProtection="1">
      <alignment horizontal="center"/>
      <protection hidden="1"/>
    </xf>
    <xf numFmtId="2" fontId="0" fillId="40" borderId="0" xfId="0" applyNumberFormat="1" applyFill="1" applyBorder="1" applyAlignment="1" applyProtection="1">
      <alignment horizontal="right"/>
      <protection hidden="1"/>
    </xf>
    <xf numFmtId="2" fontId="0" fillId="40" borderId="46" xfId="0" applyNumberFormat="1" applyFill="1" applyBorder="1" applyAlignment="1" applyProtection="1">
      <alignment horizontal="right"/>
      <protection hidden="1"/>
    </xf>
    <xf numFmtId="167" fontId="31" fillId="35" borderId="96" xfId="64" applyFont="1" applyFill="1" applyBorder="1" applyAlignment="1" applyProtection="1">
      <alignment horizontal="center"/>
      <protection hidden="1"/>
    </xf>
    <xf numFmtId="167" fontId="31" fillId="35" borderId="97" xfId="64" applyFont="1" applyFill="1" applyBorder="1" applyAlignment="1" applyProtection="1">
      <alignment horizontal="center"/>
      <protection hidden="1"/>
    </xf>
    <xf numFmtId="0" fontId="17" fillId="0" borderId="37" xfId="0" applyFont="1" applyBorder="1" applyAlignment="1" applyProtection="1">
      <alignment horizontal="center"/>
      <protection hidden="1"/>
    </xf>
    <xf numFmtId="165" fontId="17" fillId="0" borderId="39" xfId="0" applyNumberFormat="1" applyFont="1" applyBorder="1" applyAlignment="1" applyProtection="1">
      <alignment horizontal="center"/>
      <protection hidden="1"/>
    </xf>
    <xf numFmtId="0" fontId="17" fillId="0" borderId="88" xfId="0" applyFont="1" applyBorder="1" applyAlignment="1" applyProtection="1">
      <alignment horizontal="center"/>
      <protection hidden="1"/>
    </xf>
    <xf numFmtId="0" fontId="17" fillId="0" borderId="39" xfId="0" applyFont="1" applyBorder="1" applyAlignment="1" applyProtection="1">
      <alignment horizontal="center"/>
      <protection hidden="1"/>
    </xf>
    <xf numFmtId="0" fontId="17" fillId="0" borderId="87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0" fontId="13" fillId="0" borderId="37" xfId="0" applyFont="1" applyBorder="1" applyAlignment="1">
      <alignment/>
    </xf>
    <xf numFmtId="165" fontId="13" fillId="0" borderId="37" xfId="0" applyNumberFormat="1" applyFont="1" applyBorder="1" applyAlignment="1">
      <alignment/>
    </xf>
    <xf numFmtId="0" fontId="12" fillId="0" borderId="0" xfId="0" applyFont="1" applyBorder="1" applyAlignment="1" applyProtection="1">
      <alignment horizontal="center"/>
      <protection hidden="1"/>
    </xf>
    <xf numFmtId="176" fontId="12" fillId="0" borderId="26" xfId="47" applyNumberFormat="1" applyFont="1" applyFill="1" applyBorder="1" applyAlignment="1" applyProtection="1">
      <alignment horizontal="right"/>
      <protection hidden="1"/>
    </xf>
    <xf numFmtId="0" fontId="17" fillId="0" borderId="17" xfId="0" applyFont="1" applyFill="1" applyBorder="1" applyAlignment="1" applyProtection="1">
      <alignment horizontal="left" vertical="top" wrapText="1"/>
      <protection hidden="1"/>
    </xf>
    <xf numFmtId="177" fontId="12" fillId="0" borderId="26" xfId="64" applyNumberFormat="1" applyFont="1" applyFill="1" applyBorder="1" applyAlignment="1" applyProtection="1">
      <alignment horizontal="right"/>
      <protection hidden="1"/>
    </xf>
    <xf numFmtId="0" fontId="12" fillId="0" borderId="17" xfId="0" applyFont="1" applyFill="1" applyBorder="1" applyAlignment="1" applyProtection="1">
      <alignment horizontal="left" vertical="top" wrapText="1"/>
      <protection hidden="1"/>
    </xf>
    <xf numFmtId="0" fontId="19" fillId="0" borderId="38" xfId="0" applyFont="1" applyBorder="1" applyAlignment="1" applyProtection="1">
      <alignment horizontal="center" vertical="top" wrapText="1"/>
      <protection hidden="1"/>
    </xf>
    <xf numFmtId="0" fontId="19" fillId="0" borderId="98" xfId="0" applyFont="1" applyBorder="1" applyAlignment="1" applyProtection="1">
      <alignment horizontal="center" vertical="top" wrapText="1"/>
      <protection hidden="1"/>
    </xf>
    <xf numFmtId="0" fontId="17" fillId="0" borderId="23" xfId="0" applyFont="1" applyFill="1" applyBorder="1" applyAlignment="1" applyProtection="1">
      <alignment horizontal="left" vertical="top" wrapText="1"/>
      <protection hidden="1"/>
    </xf>
    <xf numFmtId="164" fontId="12" fillId="0" borderId="26" xfId="47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164" fontId="0" fillId="35" borderId="75" xfId="47" applyFill="1" applyBorder="1" applyAlignment="1" applyProtection="1">
      <alignment horizontal="center"/>
      <protection hidden="1"/>
    </xf>
    <xf numFmtId="164" fontId="0" fillId="35" borderId="46" xfId="47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center" vertical="top" wrapText="1"/>
      <protection hidden="1"/>
    </xf>
    <xf numFmtId="0" fontId="17" fillId="0" borderId="23" xfId="0" applyFont="1" applyFill="1" applyBorder="1" applyAlignment="1" applyProtection="1">
      <alignment/>
      <protection hidden="1"/>
    </xf>
    <xf numFmtId="177" fontId="12" fillId="0" borderId="26" xfId="0" applyNumberFormat="1" applyFont="1" applyFill="1" applyBorder="1" applyAlignment="1" applyProtection="1">
      <alignment/>
      <protection hidden="1"/>
    </xf>
    <xf numFmtId="0" fontId="15" fillId="35" borderId="37" xfId="0" applyFont="1" applyFill="1" applyBorder="1" applyAlignment="1" applyProtection="1">
      <alignment/>
      <protection hidden="1"/>
    </xf>
    <xf numFmtId="9" fontId="0" fillId="0" borderId="26" xfId="53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 horizontal="left" vertical="top"/>
      <protection hidden="1"/>
    </xf>
    <xf numFmtId="0" fontId="12" fillId="0" borderId="27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Fill="1" applyBorder="1" applyAlignment="1" applyProtection="1">
      <alignment/>
      <protection hidden="1"/>
    </xf>
    <xf numFmtId="3" fontId="12" fillId="0" borderId="26" xfId="0" applyNumberFormat="1" applyFont="1" applyFill="1" applyBorder="1" applyAlignment="1" applyProtection="1">
      <alignment/>
      <protection hidden="1"/>
    </xf>
    <xf numFmtId="0" fontId="1" fillId="35" borderId="37" xfId="0" applyFont="1" applyFill="1" applyBorder="1" applyAlignment="1" applyProtection="1">
      <alignment/>
      <protection hidden="1"/>
    </xf>
    <xf numFmtId="179" fontId="12" fillId="0" borderId="26" xfId="0" applyNumberFormat="1" applyFont="1" applyFill="1" applyBorder="1" applyAlignment="1" applyProtection="1">
      <alignment/>
      <protection hidden="1"/>
    </xf>
    <xf numFmtId="0" fontId="12" fillId="0" borderId="37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4" fontId="0" fillId="0" borderId="24" xfId="47" applyBorder="1" applyAlignment="1" applyProtection="1">
      <alignment horizontal="center"/>
      <protection hidden="1"/>
    </xf>
    <xf numFmtId="164" fontId="0" fillId="0" borderId="25" xfId="47" applyBorder="1" applyAlignment="1" applyProtection="1">
      <alignment horizontal="center"/>
      <protection hidden="1"/>
    </xf>
    <xf numFmtId="164" fontId="12" fillId="0" borderId="99" xfId="47" applyFont="1" applyFill="1" applyBorder="1" applyAlignment="1" applyProtection="1">
      <alignment horizontal="center"/>
      <protection hidden="1"/>
    </xf>
    <xf numFmtId="180" fontId="12" fillId="0" borderId="26" xfId="0" applyNumberFormat="1" applyFont="1" applyFill="1" applyBorder="1" applyAlignment="1" applyProtection="1">
      <alignment/>
      <protection hidden="1"/>
    </xf>
    <xf numFmtId="0" fontId="17" fillId="0" borderId="28" xfId="0" applyFont="1" applyFill="1" applyBorder="1" applyAlignment="1" applyProtection="1">
      <alignment/>
      <protection hidden="1"/>
    </xf>
    <xf numFmtId="180" fontId="12" fillId="0" borderId="99" xfId="0" applyNumberFormat="1" applyFont="1" applyFill="1" applyBorder="1" applyAlignment="1" applyProtection="1">
      <alignment horizontal="right"/>
      <protection hidden="1"/>
    </xf>
    <xf numFmtId="0" fontId="12" fillId="0" borderId="17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 horizontal="center" vertical="top" wrapText="1"/>
      <protection hidden="1"/>
    </xf>
    <xf numFmtId="0" fontId="17" fillId="0" borderId="12" xfId="0" applyFont="1" applyFill="1" applyBorder="1" applyAlignment="1" applyProtection="1">
      <alignment vertical="top" wrapText="1"/>
      <protection hidden="1"/>
    </xf>
    <xf numFmtId="0" fontId="12" fillId="0" borderId="34" xfId="0" applyFont="1" applyFill="1" applyBorder="1" applyAlignment="1" applyProtection="1">
      <alignment vertical="top" wrapText="1"/>
      <protection hidden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8" fillId="0" borderId="15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right"/>
    </xf>
    <xf numFmtId="9" fontId="11" fillId="0" borderId="15" xfId="53" applyFont="1" applyFill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13" fillId="53" borderId="36" xfId="0" applyFont="1" applyFill="1" applyBorder="1" applyAlignment="1" applyProtection="1">
      <alignment horizontal="center"/>
      <protection hidden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9" fontId="13" fillId="0" borderId="0" xfId="53" applyFont="1" applyFill="1" applyBorder="1" applyAlignment="1" applyProtection="1">
      <alignment/>
      <protection hidden="1"/>
    </xf>
    <xf numFmtId="0" fontId="13" fillId="53" borderId="35" xfId="0" applyFont="1" applyFill="1" applyBorder="1" applyAlignment="1" applyProtection="1">
      <alignment horizontal="center"/>
      <protection hidden="1"/>
    </xf>
    <xf numFmtId="0" fontId="0" fillId="35" borderId="20" xfId="0" applyFont="1" applyFill="1" applyBorder="1" applyAlignment="1" applyProtection="1">
      <alignment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horizontal="center" vertical="center"/>
      <protection hidden="1"/>
    </xf>
    <xf numFmtId="0" fontId="0" fillId="36" borderId="15" xfId="0" applyFill="1" applyBorder="1" applyAlignment="1">
      <alignment/>
    </xf>
    <xf numFmtId="49" fontId="28" fillId="38" borderId="36" xfId="0" applyNumberFormat="1" applyFont="1" applyFill="1" applyBorder="1" applyAlignment="1" applyProtection="1">
      <alignment horizontal="center" vertical="center"/>
      <protection hidden="1"/>
    </xf>
    <xf numFmtId="49" fontId="28" fillId="38" borderId="34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Border="1" applyAlignment="1" applyProtection="1">
      <alignment horizontal="center" vertical="center"/>
      <protection hidden="1"/>
    </xf>
    <xf numFmtId="0" fontId="2" fillId="36" borderId="18" xfId="0" applyFont="1" applyFill="1" applyBorder="1" applyAlignment="1" applyProtection="1">
      <alignment horizontal="center" vertical="center"/>
      <protection hidden="1"/>
    </xf>
    <xf numFmtId="0" fontId="29" fillId="35" borderId="100" xfId="0" applyFont="1" applyFill="1" applyBorder="1" applyAlignment="1" applyProtection="1">
      <alignment horizontal="center" vertical="center" wrapText="1"/>
      <protection hidden="1"/>
    </xf>
    <xf numFmtId="0" fontId="29" fillId="35" borderId="30" xfId="0" applyFont="1" applyFill="1" applyBorder="1" applyAlignment="1" applyProtection="1">
      <alignment horizontal="center" vertical="center" wrapText="1"/>
      <protection hidden="1"/>
    </xf>
    <xf numFmtId="0" fontId="29" fillId="35" borderId="30" xfId="0" applyFont="1" applyFill="1" applyBorder="1" applyAlignment="1" applyProtection="1">
      <alignment horizontal="center" vertical="center"/>
      <protection hidden="1"/>
    </xf>
    <xf numFmtId="0" fontId="29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/>
      <protection hidden="1"/>
    </xf>
    <xf numFmtId="0" fontId="13" fillId="0" borderId="101" xfId="0" applyFont="1" applyBorder="1" applyAlignment="1" applyProtection="1">
      <alignment horizontal="center"/>
      <protection hidden="1"/>
    </xf>
    <xf numFmtId="167" fontId="11" fillId="0" borderId="102" xfId="64" applyFont="1" applyFill="1" applyBorder="1" applyAlignment="1" applyProtection="1">
      <alignment horizontal="right"/>
      <protection hidden="1"/>
    </xf>
    <xf numFmtId="168" fontId="11" fillId="0" borderId="102" xfId="64" applyNumberFormat="1" applyFont="1" applyFill="1" applyBorder="1" applyAlignment="1" applyProtection="1">
      <alignment horizontal="right"/>
      <protection hidden="1"/>
    </xf>
    <xf numFmtId="166" fontId="15" fillId="0" borderId="101" xfId="64" applyNumberFormat="1" applyFont="1" applyFill="1" applyBorder="1" applyAlignment="1" applyProtection="1">
      <alignment horizontal="right"/>
      <protection hidden="1"/>
    </xf>
    <xf numFmtId="166" fontId="15" fillId="0" borderId="103" xfId="64" applyNumberFormat="1" applyFont="1" applyFill="1" applyBorder="1" applyAlignment="1" applyProtection="1">
      <alignment horizontal="right"/>
      <protection hidden="1"/>
    </xf>
    <xf numFmtId="0" fontId="11" fillId="0" borderId="104" xfId="0" applyFont="1" applyBorder="1" applyAlignment="1" applyProtection="1">
      <alignment/>
      <protection hidden="1"/>
    </xf>
    <xf numFmtId="171" fontId="11" fillId="0" borderId="102" xfId="0" applyNumberFormat="1" applyFont="1" applyBorder="1" applyAlignment="1" applyProtection="1">
      <alignment/>
      <protection hidden="1"/>
    </xf>
    <xf numFmtId="167" fontId="11" fillId="0" borderId="102" xfId="64" applyFont="1" applyFill="1" applyBorder="1" applyAlignment="1" applyProtection="1">
      <alignment/>
      <protection hidden="1"/>
    </xf>
    <xf numFmtId="166" fontId="15" fillId="0" borderId="102" xfId="64" applyNumberFormat="1" applyFont="1" applyFill="1" applyBorder="1" applyAlignment="1" applyProtection="1">
      <alignment horizontal="right"/>
      <protection hidden="1"/>
    </xf>
    <xf numFmtId="0" fontId="11" fillId="0" borderId="102" xfId="0" applyFont="1" applyBorder="1" applyAlignment="1" applyProtection="1">
      <alignment/>
      <protection hidden="1"/>
    </xf>
    <xf numFmtId="3" fontId="11" fillId="0" borderId="103" xfId="0" applyNumberFormat="1" applyFont="1" applyBorder="1" applyAlignment="1" applyProtection="1">
      <alignment/>
      <protection hidden="1"/>
    </xf>
    <xf numFmtId="3" fontId="11" fillId="0" borderId="102" xfId="0" applyNumberFormat="1" applyFont="1" applyBorder="1" applyAlignment="1" applyProtection="1">
      <alignment/>
      <protection hidden="1"/>
    </xf>
    <xf numFmtId="167" fontId="11" fillId="0" borderId="104" xfId="64" applyFont="1" applyFill="1" applyBorder="1" applyAlignment="1" applyProtection="1">
      <alignment/>
      <protection hidden="1"/>
    </xf>
    <xf numFmtId="166" fontId="13" fillId="0" borderId="101" xfId="0" applyNumberFormat="1" applyFont="1" applyBorder="1" applyAlignment="1" applyProtection="1">
      <alignment/>
      <protection hidden="1"/>
    </xf>
    <xf numFmtId="0" fontId="11" fillId="0" borderId="101" xfId="0" applyFont="1" applyBorder="1" applyAlignment="1" applyProtection="1">
      <alignment/>
      <protection hidden="1"/>
    </xf>
    <xf numFmtId="181" fontId="11" fillId="0" borderId="102" xfId="0" applyNumberFormat="1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hidden="1"/>
    </xf>
    <xf numFmtId="182" fontId="13" fillId="0" borderId="106" xfId="47" applyNumberFormat="1" applyFont="1" applyFill="1" applyBorder="1" applyAlignment="1" applyProtection="1">
      <alignment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66675</xdr:rowOff>
    </xdr:from>
    <xdr:to>
      <xdr:col>16</xdr:col>
      <xdr:colOff>9525</xdr:colOff>
      <xdr:row>3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667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2</xdr:col>
      <xdr:colOff>333375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4</xdr:col>
      <xdr:colOff>9525</xdr:colOff>
      <xdr:row>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152400</xdr:rowOff>
    </xdr:from>
    <xdr:to>
      <xdr:col>3</xdr:col>
      <xdr:colOff>1666875</xdr:colOff>
      <xdr:row>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52400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0</xdr:col>
      <xdr:colOff>962025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432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dia\tatiana\DISCO%20REMOV\LICITA&#199;&#195;O\PLANILHAS%20PRONTAS\PLANILHA%20DE%20TRANSPORTE%20at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COMERCIAL"/>
      <sheetName val="Custos "/>
      <sheetName val="Valores"/>
      <sheetName val="Memoria de Calculo"/>
      <sheetName val="Tabela de Preços"/>
      <sheetName val="Rota"/>
      <sheetName val="Parametro"/>
    </sheetNames>
    <sheetDataSet>
      <sheetData sheetId="4">
        <row r="7">
          <cell r="E7" t="str">
            <v>MICRO - VOLARE ESCOLAR V6L - MARCOPOLO</v>
          </cell>
        </row>
        <row r="8">
          <cell r="E8" t="str">
            <v>MICRO - THUNDER WAY - NEOBUS</v>
          </cell>
        </row>
        <row r="9">
          <cell r="E9" t="str">
            <v>MICRO - GRAN MICRO URBANO - MASCARELLO</v>
          </cell>
        </row>
        <row r="10">
          <cell r="E10" t="str">
            <v>MICRO - PHANTER SPECIAL - WALKBUS</v>
          </cell>
        </row>
        <row r="11">
          <cell r="E11" t="str">
            <v>MICRO - VOLARE W9 - MARCOPOLO</v>
          </cell>
        </row>
        <row r="12">
          <cell r="E12" t="str">
            <v>MICRO - VOLARE A5/V5 - MARCOPOLO</v>
          </cell>
        </row>
        <row r="13">
          <cell r="E13" t="str">
            <v>MICRO - VOLARE A6/V6 - MARCOPOLO</v>
          </cell>
        </row>
        <row r="14">
          <cell r="E14" t="str">
            <v>MICRO - T. BOY/WAY - NEOBUS</v>
          </cell>
        </row>
        <row r="15">
          <cell r="E15" t="str">
            <v>MICRO - THUNDER PLUS - NEOBUS</v>
          </cell>
        </row>
        <row r="16">
          <cell r="E16" t="str">
            <v>MICRO - VOLARE A6 - MARCOPOLO</v>
          </cell>
        </row>
        <row r="17">
          <cell r="E17" t="str">
            <v>MICRO - VOLARE A8 - MARCOPOLO</v>
          </cell>
        </row>
        <row r="18">
          <cell r="E18" t="str">
            <v>MICRO - VOLARE DW9 - MARCOPOLO</v>
          </cell>
        </row>
        <row r="19">
          <cell r="E19" t="str">
            <v>MICRO - VOLARE V8 - MARCOPOLO</v>
          </cell>
        </row>
        <row r="20">
          <cell r="E20" t="str">
            <v>ÔNIBUS - MB OM 924 LA - MERCEDES-BENS</v>
          </cell>
        </row>
        <row r="21">
          <cell r="E21" t="str">
            <v>ÔNIBUS - NEOBUS MEGA - NEOBUS</v>
          </cell>
        </row>
        <row r="22">
          <cell r="E22" t="str">
            <v>ÔNIBUS - CITIMAX - CIFERAL</v>
          </cell>
        </row>
        <row r="23">
          <cell r="E23" t="str">
            <v>ÔNIBUS - GRAN VIA - MASCARELLO</v>
          </cell>
        </row>
        <row r="24">
          <cell r="E24" t="str">
            <v>ÔNIBUS - APACHE VIP - MERCEDES-BENS</v>
          </cell>
        </row>
        <row r="25">
          <cell r="E25" t="str">
            <v>ÔNIBUS - TORINO - MARCOPOLO</v>
          </cell>
        </row>
        <row r="26">
          <cell r="E26" t="str">
            <v>ÔNIBUS - VIALLE - MARCOPOLO</v>
          </cell>
        </row>
        <row r="27">
          <cell r="E27" t="str">
            <v>ÔNIBUS - SPECTRUM - NEOBUS</v>
          </cell>
        </row>
        <row r="28">
          <cell r="E28" t="str">
            <v>ÔNIBUS - VIALE CITY PLUS - MARCOPOLO</v>
          </cell>
        </row>
        <row r="29">
          <cell r="E29" t="str">
            <v>ÔNIBUS -  APACHE VIP - CAIO</v>
          </cell>
        </row>
        <row r="30">
          <cell r="E30" t="str">
            <v>ÔNIBUS - SENIOR MIDI - MARCOPOLO</v>
          </cell>
        </row>
        <row r="31">
          <cell r="E31" t="str">
            <v>ÔNIBUS - 17-230 - VOLKSQWAGEN</v>
          </cell>
        </row>
        <row r="32">
          <cell r="E32" t="str">
            <v>ÔNIBUS - OF-1519  - MERCEDES-BENZ</v>
          </cell>
        </row>
        <row r="33">
          <cell r="E33" t="str">
            <v>ÔNIBUS - OF-1722  - MERCEDES-BENZ</v>
          </cell>
        </row>
        <row r="34">
          <cell r="E34" t="str">
            <v>ÔNIBUS - OH-1628  - MERCEDES-BENZ</v>
          </cell>
        </row>
        <row r="35">
          <cell r="E35" t="str">
            <v>ÔNIBUS - DEMAIS MODELOS - VOLKSQWAGEN</v>
          </cell>
        </row>
        <row r="36">
          <cell r="E36" t="str">
            <v>ÔNIBUS - 15.180 (TODOS) - VOLKSQWAGEN</v>
          </cell>
        </row>
        <row r="37">
          <cell r="E37" t="str">
            <v>ÔNIBUS - 15.190 (TODOS) - VOLKSQWAGEN</v>
          </cell>
        </row>
        <row r="38">
          <cell r="E38" t="str">
            <v>ÔNIBUS - 17.230 (TODOS) - VOLKSQWAGEN</v>
          </cell>
        </row>
        <row r="39">
          <cell r="E39" t="str">
            <v>ÔNIBUS - 8.150 (TODOS) - VOLKSQWAGEN</v>
          </cell>
        </row>
        <row r="40">
          <cell r="E40" t="str">
            <v>ÔNIBUS - 9.150 (TODOS) - VOLKSQWAGEN</v>
          </cell>
        </row>
        <row r="41">
          <cell r="E41" t="str">
            <v>ÔNIBUS - OF-1418 (TODOS) - MERCEDES-BENZ</v>
          </cell>
        </row>
        <row r="42">
          <cell r="E42" t="str">
            <v>ÔNIBUS - VOLARE W9 (TODOS) - MERCEDES-BENZ</v>
          </cell>
        </row>
        <row r="43">
          <cell r="E43" t="str">
            <v>ÔNIBUS - LO-812/814 (TODOS) - MERCEDES-BENZ</v>
          </cell>
        </row>
        <row r="44">
          <cell r="E44" t="str">
            <v>ÔNIBUS - G7 1200 - MERCEDES-BENZ</v>
          </cell>
        </row>
        <row r="45">
          <cell r="E45" t="str">
            <v>ÔNIBUS - LD - SCANIA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ermelho Laranj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7.7109375" style="1" customWidth="1"/>
    <col min="2" max="2" width="14.7109375" style="1" customWidth="1"/>
    <col min="3" max="3" width="16.140625" style="1" customWidth="1"/>
    <col min="4" max="4" width="12.421875" style="1" customWidth="1"/>
    <col min="5" max="5" width="16.140625" style="1" customWidth="1"/>
    <col min="6" max="6" width="20.421875" style="1" customWidth="1"/>
    <col min="7" max="7" width="18.7109375" style="1" customWidth="1"/>
    <col min="8" max="16384" width="9.140625" style="1" customWidth="1"/>
  </cols>
  <sheetData>
    <row r="1" spans="1:7" ht="15.75" thickBot="1">
      <c r="A1" s="566" t="s">
        <v>265</v>
      </c>
      <c r="B1" s="567"/>
      <c r="C1" s="567"/>
      <c r="D1" s="567"/>
      <c r="E1" s="568"/>
      <c r="F1" s="552"/>
      <c r="G1" s="552"/>
    </row>
    <row r="2" spans="1:8" ht="15">
      <c r="A2" s="503"/>
      <c r="B2" s="502"/>
      <c r="C2" s="502"/>
      <c r="D2" s="502"/>
      <c r="E2" s="561"/>
      <c r="F2" s="562"/>
      <c r="G2" s="562"/>
      <c r="H2" s="556"/>
    </row>
    <row r="3" spans="1:8" ht="15.75" thickBot="1">
      <c r="A3" s="572" t="s">
        <v>283</v>
      </c>
      <c r="B3" s="573"/>
      <c r="C3" s="573"/>
      <c r="D3" s="573"/>
      <c r="E3" s="574"/>
      <c r="F3" s="562"/>
      <c r="G3" s="562"/>
      <c r="H3" s="556"/>
    </row>
    <row r="4" spans="1:5" ht="15.75" thickBot="1">
      <c r="A4" s="575" t="s">
        <v>0</v>
      </c>
      <c r="B4" s="577" t="s">
        <v>120</v>
      </c>
      <c r="C4" s="575" t="s">
        <v>301</v>
      </c>
      <c r="D4" s="577" t="s">
        <v>280</v>
      </c>
      <c r="E4" s="579" t="s">
        <v>281</v>
      </c>
    </row>
    <row r="5" spans="1:5" ht="15">
      <c r="A5" s="576"/>
      <c r="B5" s="578"/>
      <c r="C5" s="576"/>
      <c r="D5" s="578"/>
      <c r="E5" s="580"/>
    </row>
    <row r="6" spans="1:5" ht="15">
      <c r="A6" s="553">
        <v>1</v>
      </c>
      <c r="B6" s="321" t="s">
        <v>285</v>
      </c>
      <c r="C6" s="513">
        <v>9.46</v>
      </c>
      <c r="D6" s="514">
        <v>120</v>
      </c>
      <c r="E6" s="515">
        <f>(D6*C6)</f>
        <v>1135.2</v>
      </c>
    </row>
    <row r="7" spans="1:5" ht="15">
      <c r="A7" s="554">
        <v>3</v>
      </c>
      <c r="B7" s="321" t="s">
        <v>286</v>
      </c>
      <c r="C7" s="516">
        <v>11.91</v>
      </c>
      <c r="D7" s="517">
        <v>95</v>
      </c>
      <c r="E7" s="515">
        <f>(D7*C7)</f>
        <v>1131.45</v>
      </c>
    </row>
    <row r="8" spans="1:5" ht="15.75" thickBot="1">
      <c r="A8" s="555">
        <v>4</v>
      </c>
      <c r="B8" s="548" t="s">
        <v>287</v>
      </c>
      <c r="C8" s="549">
        <v>9.58</v>
      </c>
      <c r="D8" s="550">
        <v>90</v>
      </c>
      <c r="E8" s="547">
        <f>(D8*C8)</f>
        <v>862.2</v>
      </c>
    </row>
    <row r="9" spans="1:5" ht="15.75" thickBot="1">
      <c r="A9" s="569" t="s">
        <v>282</v>
      </c>
      <c r="B9" s="570"/>
      <c r="C9" s="570"/>
      <c r="D9" s="571"/>
      <c r="E9" s="551">
        <f>SUM(E6:E8)</f>
        <v>3128.8500000000004</v>
      </c>
    </row>
    <row r="10" spans="1:5" ht="15.75" thickBot="1">
      <c r="A10" s="563" t="s">
        <v>300</v>
      </c>
      <c r="B10" s="564"/>
      <c r="C10" s="564"/>
      <c r="D10" s="565"/>
      <c r="E10" s="560">
        <f>(E9*20)</f>
        <v>62577.00000000001</v>
      </c>
    </row>
    <row r="11" spans="1:5" ht="15.75" thickBot="1">
      <c r="A11" s="563" t="s">
        <v>299</v>
      </c>
      <c r="B11" s="564"/>
      <c r="C11" s="564"/>
      <c r="D11" s="565"/>
      <c r="E11" s="560">
        <f>(E9*200)</f>
        <v>625770.0000000001</v>
      </c>
    </row>
  </sheetData>
  <sheetProtection password="CAEE" sheet="1" objects="1" scenarios="1" selectLockedCells="1" selectUnlockedCells="1"/>
  <mergeCells count="10">
    <mergeCell ref="A11:D11"/>
    <mergeCell ref="A1:E1"/>
    <mergeCell ref="A9:D9"/>
    <mergeCell ref="A10:D10"/>
    <mergeCell ref="A3:E3"/>
    <mergeCell ref="A4:A5"/>
    <mergeCell ref="B4:B5"/>
    <mergeCell ref="C4:C5"/>
    <mergeCell ref="D4:D5"/>
    <mergeCell ref="E4:E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tabColor indexed="55"/>
  </sheetPr>
  <dimension ref="A1:AU103"/>
  <sheetViews>
    <sheetView showGridLines="0" tabSelected="1" zoomScalePageLayoutView="0" workbookViewId="0" topLeftCell="A1">
      <selection activeCell="AF8" sqref="AF8:AH8"/>
    </sheetView>
  </sheetViews>
  <sheetFormatPr defaultColWidth="9.140625" defaultRowHeight="15"/>
  <cols>
    <col min="1" max="1" width="6.7109375" style="2" customWidth="1"/>
    <col min="2" max="2" width="4.8515625" style="2" customWidth="1"/>
    <col min="3" max="3" width="5.421875" style="2" customWidth="1"/>
    <col min="4" max="4" width="4.57421875" style="2" customWidth="1"/>
    <col min="5" max="5" width="8.140625" style="2" customWidth="1"/>
    <col min="6" max="7" width="4.140625" style="2" customWidth="1"/>
    <col min="8" max="8" width="20.421875" style="2" customWidth="1"/>
    <col min="9" max="9" width="0" style="2" hidden="1" customWidth="1"/>
    <col min="10" max="10" width="5.00390625" style="2" customWidth="1"/>
    <col min="11" max="11" width="6.140625" style="2" customWidth="1"/>
    <col min="12" max="12" width="0" style="2" hidden="1" customWidth="1"/>
    <col min="13" max="13" width="8.7109375" style="2" customWidth="1"/>
    <col min="14" max="14" width="5.28125" style="2" customWidth="1"/>
    <col min="15" max="15" width="4.28125" style="2" customWidth="1"/>
    <col min="16" max="16" width="4.421875" style="2" customWidth="1"/>
    <col min="17" max="17" width="2.28125" style="2" customWidth="1"/>
    <col min="18" max="18" width="0" style="2" hidden="1" customWidth="1"/>
    <col min="19" max="19" width="3.28125" style="2" customWidth="1"/>
    <col min="20" max="20" width="4.57421875" style="2" customWidth="1"/>
    <col min="21" max="21" width="2.00390625" style="2" customWidth="1"/>
    <col min="22" max="22" width="8.8515625" style="2" customWidth="1"/>
    <col min="23" max="23" width="5.421875" style="2" customWidth="1"/>
    <col min="24" max="24" width="3.421875" style="2" customWidth="1"/>
    <col min="25" max="25" width="3.00390625" style="2" customWidth="1"/>
    <col min="26" max="26" width="4.00390625" style="2" customWidth="1"/>
    <col min="27" max="27" width="3.00390625" style="2" customWidth="1"/>
    <col min="28" max="28" width="3.421875" style="2" customWidth="1"/>
    <col min="29" max="29" width="1.57421875" style="2" customWidth="1"/>
    <col min="30" max="30" width="1.1484375" style="2" customWidth="1"/>
    <col min="31" max="31" width="11.7109375" style="2" customWidth="1"/>
    <col min="32" max="32" width="12.140625" style="2" customWidth="1"/>
    <col min="33" max="33" width="5.7109375" style="2" customWidth="1"/>
    <col min="34" max="34" width="14.421875" style="2" customWidth="1"/>
    <col min="35" max="35" width="0" style="2" hidden="1" customWidth="1"/>
    <col min="36" max="36" width="7.57421875" style="2" customWidth="1"/>
    <col min="37" max="39" width="9.140625" style="2" customWidth="1"/>
    <col min="40" max="40" width="1.28515625" style="2" customWidth="1"/>
    <col min="41" max="42" width="0" style="2" hidden="1" customWidth="1"/>
    <col min="43" max="43" width="9.140625" style="2" customWidth="1"/>
    <col min="44" max="44" width="28.57421875" style="2" customWidth="1"/>
    <col min="45" max="47" width="0" style="2" hidden="1" customWidth="1"/>
    <col min="48" max="48" width="12.140625" style="2" customWidth="1"/>
    <col min="49" max="49" width="13.7109375" style="2" customWidth="1"/>
    <col min="50" max="50" width="16.28125" style="2" customWidth="1"/>
    <col min="51" max="51" width="21.57421875" style="2" customWidth="1"/>
    <col min="52" max="52" width="18.421875" style="2" customWidth="1"/>
    <col min="53" max="53" width="14.57421875" style="2" customWidth="1"/>
    <col min="54" max="16384" width="9.140625" style="2" customWidth="1"/>
  </cols>
  <sheetData>
    <row r="1" spans="1:35" ht="21" customHeight="1">
      <c r="A1" s="616" t="s">
        <v>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3"/>
    </row>
    <row r="2" spans="1:47" ht="1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3"/>
      <c r="AT2" s="2">
        <v>15</v>
      </c>
      <c r="AU2" s="2">
        <v>2000</v>
      </c>
    </row>
    <row r="3" spans="1:47" ht="15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3"/>
      <c r="AT3" s="2">
        <v>14</v>
      </c>
      <c r="AU3" s="2">
        <v>2001</v>
      </c>
    </row>
    <row r="4" spans="1:47" ht="15.75" customHeight="1">
      <c r="A4" s="617" t="s">
        <v>295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4"/>
      <c r="AT4" s="2">
        <v>13</v>
      </c>
      <c r="AU4" s="2">
        <v>2003</v>
      </c>
    </row>
    <row r="5" spans="1:47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6"/>
      <c r="AD5" s="6"/>
      <c r="AE5" s="6"/>
      <c r="AF5" s="6"/>
      <c r="AG5" s="6"/>
      <c r="AH5" s="8"/>
      <c r="AT5" s="2">
        <v>12</v>
      </c>
      <c r="AU5" s="2">
        <v>2004</v>
      </c>
    </row>
    <row r="6" spans="1:47" ht="21.75" customHeight="1">
      <c r="A6" s="618" t="s">
        <v>2</v>
      </c>
      <c r="B6" s="618"/>
      <c r="C6" s="9"/>
      <c r="D6" s="10"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1"/>
      <c r="T6" s="12" t="s">
        <v>3</v>
      </c>
      <c r="U6" s="13"/>
      <c r="V6" s="13"/>
      <c r="W6" s="619">
        <f>VLOOKUP(D6,Rota!A5:E9,3,0)</f>
        <v>90</v>
      </c>
      <c r="X6" s="619"/>
      <c r="Y6" s="12" t="s">
        <v>4</v>
      </c>
      <c r="Z6" s="14"/>
      <c r="AA6" s="11"/>
      <c r="AB6" s="11"/>
      <c r="AC6" s="11"/>
      <c r="AD6" s="11"/>
      <c r="AE6" s="11"/>
      <c r="AF6" s="620"/>
      <c r="AG6" s="620"/>
      <c r="AH6" s="620"/>
      <c r="AT6" s="2">
        <v>11</v>
      </c>
      <c r="AU6" s="2">
        <v>2005</v>
      </c>
    </row>
    <row r="7" spans="1:47" ht="21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1"/>
      <c r="T7" s="11"/>
      <c r="U7" s="19"/>
      <c r="V7" s="20"/>
      <c r="W7" s="20"/>
      <c r="X7" s="20"/>
      <c r="Y7" s="11"/>
      <c r="Z7" s="11"/>
      <c r="AA7" s="21"/>
      <c r="AB7" s="21"/>
      <c r="AC7" s="11"/>
      <c r="AD7" s="11"/>
      <c r="AE7" s="11"/>
      <c r="AF7" s="22"/>
      <c r="AG7" s="22"/>
      <c r="AH7" s="15"/>
      <c r="AT7" s="2">
        <v>10</v>
      </c>
      <c r="AU7" s="2">
        <v>2006</v>
      </c>
    </row>
    <row r="8" spans="1:47" ht="19.5" customHeight="1">
      <c r="A8" s="618" t="s">
        <v>5</v>
      </c>
      <c r="B8" s="618"/>
      <c r="C8" s="628" t="str">
        <f>VLOOKUP(D6,Rota!A:E,5,0)</f>
        <v>ÔNIBUS</v>
      </c>
      <c r="D8" s="629"/>
      <c r="E8" s="629"/>
      <c r="F8" s="629"/>
      <c r="G8" s="629"/>
      <c r="H8" s="629"/>
      <c r="I8" s="629"/>
      <c r="J8" s="629"/>
      <c r="K8" s="629"/>
      <c r="L8" s="629"/>
      <c r="M8" s="630"/>
      <c r="N8" s="11"/>
      <c r="O8" s="11"/>
      <c r="P8" s="26"/>
      <c r="Q8" s="26"/>
      <c r="R8" s="26"/>
      <c r="S8" s="26"/>
      <c r="T8" s="27" t="s">
        <v>6</v>
      </c>
      <c r="U8" s="28"/>
      <c r="V8" s="29">
        <v>2013</v>
      </c>
      <c r="W8" s="26"/>
      <c r="X8" s="26"/>
      <c r="Y8" s="11"/>
      <c r="Z8" s="11"/>
      <c r="AA8" s="21"/>
      <c r="AB8" s="21"/>
      <c r="AC8" s="11"/>
      <c r="AD8" s="11"/>
      <c r="AE8" s="11"/>
      <c r="AF8" s="621"/>
      <c r="AG8" s="621"/>
      <c r="AH8" s="621"/>
      <c r="AT8" s="2">
        <v>9</v>
      </c>
      <c r="AU8" s="2">
        <v>2007</v>
      </c>
    </row>
    <row r="9" spans="1:47" ht="15">
      <c r="A9" s="31"/>
      <c r="B9" s="19"/>
      <c r="C9" s="23"/>
      <c r="D9" s="24"/>
      <c r="E9" s="24"/>
      <c r="F9" s="24"/>
      <c r="G9" s="19"/>
      <c r="H9" s="19"/>
      <c r="I9" s="19"/>
      <c r="J9" s="19"/>
      <c r="K9" s="25"/>
      <c r="L9" s="18"/>
      <c r="M9" s="18"/>
      <c r="N9" s="11"/>
      <c r="O9" s="11"/>
      <c r="P9" s="26"/>
      <c r="Q9" s="26"/>
      <c r="R9" s="26"/>
      <c r="S9" s="26"/>
      <c r="T9" s="27"/>
      <c r="U9" s="28"/>
      <c r="V9" s="28"/>
      <c r="W9" s="26"/>
      <c r="X9" s="26"/>
      <c r="Y9" s="11"/>
      <c r="Z9" s="11"/>
      <c r="AA9" s="21"/>
      <c r="AB9" s="21"/>
      <c r="AC9" s="11"/>
      <c r="AD9" s="11"/>
      <c r="AE9" s="11"/>
      <c r="AF9" s="32"/>
      <c r="AG9" s="32"/>
      <c r="AH9" s="30"/>
      <c r="AT9" s="2">
        <v>8</v>
      </c>
      <c r="AU9" s="2">
        <v>2008</v>
      </c>
    </row>
    <row r="10" spans="1:47" ht="21" customHeight="1">
      <c r="A10" s="622" t="s">
        <v>7</v>
      </c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  <c r="Q10" s="622" t="s">
        <v>8</v>
      </c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4"/>
      <c r="AI10" s="33"/>
      <c r="AJ10" s="33"/>
      <c r="AK10" s="34"/>
      <c r="AT10" s="2">
        <v>7</v>
      </c>
      <c r="AU10" s="2">
        <v>2009</v>
      </c>
    </row>
    <row r="11" spans="1:47" ht="15" customHeight="1">
      <c r="A11" s="625" t="s">
        <v>9</v>
      </c>
      <c r="B11" s="626"/>
      <c r="C11" s="626"/>
      <c r="D11" s="626"/>
      <c r="E11" s="626"/>
      <c r="F11" s="626"/>
      <c r="G11" s="626"/>
      <c r="H11" s="627" t="s">
        <v>10</v>
      </c>
      <c r="I11" s="627"/>
      <c r="J11" s="627"/>
      <c r="K11" s="627"/>
      <c r="L11" s="35"/>
      <c r="M11" s="35"/>
      <c r="N11" s="35"/>
      <c r="O11" s="35"/>
      <c r="P11" s="459"/>
      <c r="Q11" s="472"/>
      <c r="R11" s="36"/>
      <c r="S11" s="37"/>
      <c r="T11" s="37"/>
      <c r="U11" s="37" t="s">
        <v>11</v>
      </c>
      <c r="V11" s="37"/>
      <c r="W11" s="37"/>
      <c r="X11" s="37"/>
      <c r="Y11" s="37"/>
      <c r="Z11" s="37"/>
      <c r="AA11" s="38"/>
      <c r="AB11" s="38"/>
      <c r="AC11" s="37"/>
      <c r="AD11" s="37"/>
      <c r="AE11" s="37"/>
      <c r="AF11" s="38"/>
      <c r="AG11" s="38"/>
      <c r="AH11" s="473">
        <f>IF(D6=1,'Memoria de Calculo'!M7,IF(D6=2,'Memoria de Calculo'!N7,IF(D6=3,'Memoria de Calculo'!M7)))</f>
        <v>3</v>
      </c>
      <c r="AI11" s="39"/>
      <c r="AT11" s="2">
        <v>6</v>
      </c>
      <c r="AU11" s="2">
        <v>2010</v>
      </c>
    </row>
    <row r="12" spans="1:47" ht="15">
      <c r="A12" s="625" t="s">
        <v>12</v>
      </c>
      <c r="B12" s="626"/>
      <c r="C12" s="626"/>
      <c r="D12" s="626"/>
      <c r="E12" s="626"/>
      <c r="F12" s="626"/>
      <c r="G12" s="626"/>
      <c r="H12" s="354" t="s">
        <v>298</v>
      </c>
      <c r="I12" s="558"/>
      <c r="J12" s="558"/>
      <c r="K12" s="558"/>
      <c r="L12" s="35"/>
      <c r="M12" s="35"/>
      <c r="N12" s="35"/>
      <c r="O12" s="35"/>
      <c r="P12" s="459"/>
      <c r="Q12" s="507"/>
      <c r="R12" s="41"/>
      <c r="S12" s="42"/>
      <c r="T12" s="42"/>
      <c r="U12" s="42" t="s">
        <v>13</v>
      </c>
      <c r="V12" s="42"/>
      <c r="W12" s="42"/>
      <c r="X12" s="42"/>
      <c r="Y12" s="42"/>
      <c r="Z12" s="42"/>
      <c r="AA12" s="35"/>
      <c r="AB12" s="35"/>
      <c r="AC12" s="35"/>
      <c r="AD12" s="35"/>
      <c r="AE12" s="35"/>
      <c r="AF12" s="35"/>
      <c r="AG12" s="35"/>
      <c r="AH12" s="559">
        <f>Valores!N7</f>
        <v>6.3</v>
      </c>
      <c r="AI12" s="43"/>
      <c r="AJ12" s="43"/>
      <c r="AT12" s="2">
        <v>5</v>
      </c>
      <c r="AU12" s="2">
        <v>2011</v>
      </c>
    </row>
    <row r="13" spans="1:47" ht="15">
      <c r="A13" s="625" t="s">
        <v>14</v>
      </c>
      <c r="B13" s="626"/>
      <c r="C13" s="626"/>
      <c r="D13" s="626"/>
      <c r="E13" s="626"/>
      <c r="F13" s="626"/>
      <c r="G13" s="626"/>
      <c r="H13" s="627" t="s">
        <v>297</v>
      </c>
      <c r="I13" s="627"/>
      <c r="J13" s="627"/>
      <c r="K13" s="627"/>
      <c r="L13" s="35"/>
      <c r="M13" s="35"/>
      <c r="N13" s="35"/>
      <c r="O13" s="35"/>
      <c r="P13" s="459"/>
      <c r="Q13" s="507"/>
      <c r="R13" s="35"/>
      <c r="S13" s="44"/>
      <c r="T13" s="44"/>
      <c r="U13" s="631" t="s">
        <v>15</v>
      </c>
      <c r="V13" s="631"/>
      <c r="W13" s="35"/>
      <c r="X13" s="35"/>
      <c r="Y13" s="35"/>
      <c r="Z13" s="35"/>
      <c r="AA13" s="35"/>
      <c r="AB13" s="35"/>
      <c r="AC13" s="35"/>
      <c r="AD13" s="35"/>
      <c r="AE13" s="35"/>
      <c r="AF13" s="45"/>
      <c r="AG13" s="45"/>
      <c r="AH13" s="475">
        <f>(AH12/AH11)</f>
        <v>2.1</v>
      </c>
      <c r="AT13" s="2">
        <v>4</v>
      </c>
      <c r="AU13" s="2">
        <v>2012</v>
      </c>
    </row>
    <row r="14" spans="1:47" ht="15">
      <c r="A14" s="625" t="s">
        <v>16</v>
      </c>
      <c r="B14" s="626"/>
      <c r="C14" s="626"/>
      <c r="D14" s="626"/>
      <c r="E14" s="626"/>
      <c r="F14" s="626"/>
      <c r="G14" s="626"/>
      <c r="H14" s="632">
        <v>2023</v>
      </c>
      <c r="I14" s="632"/>
      <c r="J14" s="632"/>
      <c r="K14" s="632"/>
      <c r="L14" s="35"/>
      <c r="M14" s="35"/>
      <c r="N14" s="35"/>
      <c r="O14" s="35"/>
      <c r="P14" s="459"/>
      <c r="Q14" s="476"/>
      <c r="R14" s="412"/>
      <c r="S14" s="412"/>
      <c r="T14" s="413" t="s">
        <v>17</v>
      </c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4"/>
      <c r="AH14" s="477"/>
      <c r="AT14" s="2">
        <v>3</v>
      </c>
      <c r="AU14" s="2">
        <v>2013</v>
      </c>
    </row>
    <row r="15" spans="1:47" ht="15" customHeight="1">
      <c r="A15" s="460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1"/>
      <c r="Q15" s="507"/>
      <c r="R15" s="41"/>
      <c r="S15" s="35"/>
      <c r="T15" s="35"/>
      <c r="U15" s="35" t="s">
        <v>18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48"/>
      <c r="AH15" s="478">
        <f>IF(D6=1,'Memoria de Calculo'!M12,IF(D6=2,'Memoria de Calculo'!N12,IF(D6=3,'Memoria de Calculo'!N12,)))</f>
        <v>0.003</v>
      </c>
      <c r="AT15" s="2">
        <v>2</v>
      </c>
      <c r="AU15" s="2">
        <v>2014</v>
      </c>
    </row>
    <row r="16" spans="1:47" ht="15" customHeight="1" thickBot="1">
      <c r="A16" s="633" t="s">
        <v>19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5"/>
      <c r="Q16" s="507"/>
      <c r="R16" s="41"/>
      <c r="S16" s="35"/>
      <c r="T16" s="35"/>
      <c r="U16" s="35" t="s">
        <v>20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49"/>
      <c r="AH16" s="479">
        <f>Valores!N10</f>
        <v>34.9</v>
      </c>
      <c r="AT16" s="2">
        <v>1</v>
      </c>
      <c r="AU16" s="2">
        <v>2015</v>
      </c>
    </row>
    <row r="17" spans="1:36" ht="15.75" customHeight="1" thickBot="1">
      <c r="A17" s="462"/>
      <c r="B17" s="50" t="s">
        <v>21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636">
        <f>VLOOKUP(D6,Parametro!A:F,6,0)</f>
        <v>150000</v>
      </c>
      <c r="O17" s="636"/>
      <c r="P17" s="637"/>
      <c r="Q17" s="507"/>
      <c r="R17" s="41"/>
      <c r="S17" s="35"/>
      <c r="T17" s="35"/>
      <c r="U17" s="650" t="s">
        <v>15</v>
      </c>
      <c r="V17" s="650"/>
      <c r="W17" s="35"/>
      <c r="X17" s="35"/>
      <c r="Y17" s="35"/>
      <c r="Z17" s="35"/>
      <c r="AA17" s="35"/>
      <c r="AB17" s="35"/>
      <c r="AC17" s="35"/>
      <c r="AD17" s="35"/>
      <c r="AE17" s="35"/>
      <c r="AF17" s="51"/>
      <c r="AG17" s="51"/>
      <c r="AH17" s="480">
        <f>((AH16*AH15))</f>
        <v>0.1047</v>
      </c>
      <c r="AI17" s="52"/>
      <c r="AJ17" s="52"/>
    </row>
    <row r="18" spans="1:36" ht="15" customHeight="1">
      <c r="A18" s="463"/>
      <c r="B18" s="53" t="s">
        <v>22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638"/>
      <c r="O18" s="638"/>
      <c r="P18" s="639"/>
      <c r="Q18" s="476"/>
      <c r="R18" s="415"/>
      <c r="S18" s="412"/>
      <c r="T18" s="413" t="s">
        <v>23</v>
      </c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81"/>
      <c r="AI18" s="52"/>
      <c r="AJ18" s="52"/>
    </row>
    <row r="19" spans="1:36" ht="15" customHeight="1">
      <c r="A19" s="507"/>
      <c r="B19" s="35"/>
      <c r="C19" s="40" t="s">
        <v>24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56"/>
      <c r="O19" s="56"/>
      <c r="P19" s="464"/>
      <c r="Q19" s="466"/>
      <c r="R19" s="57"/>
      <c r="S19" s="58"/>
      <c r="T19" s="58"/>
      <c r="U19" s="58" t="s">
        <v>25</v>
      </c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482">
        <f>IF(D6=1,'Memoria de Calculo'!M17,'Memoria de Calculo'!N17)</f>
        <v>95000</v>
      </c>
      <c r="AI19" s="33"/>
      <c r="AJ19" s="33"/>
    </row>
    <row r="20" spans="1:47" ht="15.75" customHeight="1" thickBot="1">
      <c r="A20" s="507"/>
      <c r="B20" s="35"/>
      <c r="C20" s="640" t="s">
        <v>26</v>
      </c>
      <c r="D20" s="640"/>
      <c r="E20" s="640"/>
      <c r="F20" s="640" t="s">
        <v>27</v>
      </c>
      <c r="G20" s="640"/>
      <c r="H20" s="640"/>
      <c r="I20" s="640" t="s">
        <v>28</v>
      </c>
      <c r="J20" s="640"/>
      <c r="K20" s="640"/>
      <c r="L20" s="640"/>
      <c r="M20" s="640"/>
      <c r="N20" s="641"/>
      <c r="O20" s="641"/>
      <c r="P20" s="642"/>
      <c r="Q20" s="507"/>
      <c r="R20" s="41"/>
      <c r="S20" s="35"/>
      <c r="T20" s="35"/>
      <c r="U20" s="35" t="s">
        <v>29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479">
        <f>'Memoria de Calculo'!M18</f>
        <v>4</v>
      </c>
      <c r="AI20" s="59"/>
      <c r="AJ20" s="59"/>
      <c r="AT20" s="2">
        <v>1</v>
      </c>
      <c r="AU20" s="2" t="s">
        <v>30</v>
      </c>
    </row>
    <row r="21" spans="1:47" ht="15.75" thickBot="1">
      <c r="A21" s="465"/>
      <c r="B21" s="60"/>
      <c r="C21" s="643">
        <v>2013</v>
      </c>
      <c r="D21" s="643"/>
      <c r="E21" s="643"/>
      <c r="F21" s="643">
        <v>10</v>
      </c>
      <c r="G21" s="643"/>
      <c r="H21" s="643"/>
      <c r="I21" s="61"/>
      <c r="J21" s="644">
        <v>0</v>
      </c>
      <c r="K21" s="644"/>
      <c r="L21" s="644"/>
      <c r="M21" s="644"/>
      <c r="N21" s="645">
        <f>(J21*M8)/12</f>
        <v>0</v>
      </c>
      <c r="O21" s="645"/>
      <c r="P21" s="646"/>
      <c r="Q21" s="507"/>
      <c r="R21" s="41"/>
      <c r="S21" s="35"/>
      <c r="T21" s="35"/>
      <c r="U21" s="35" t="s">
        <v>31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479">
        <f>'Memoria de Calculo'!M19</f>
        <v>2373.01</v>
      </c>
      <c r="AI21" s="59"/>
      <c r="AJ21" s="59"/>
      <c r="AT21" s="2">
        <v>2</v>
      </c>
      <c r="AU21" s="2" t="s">
        <v>32</v>
      </c>
    </row>
    <row r="22" spans="1:36" ht="15">
      <c r="A22" s="463"/>
      <c r="B22" s="53" t="s">
        <v>33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638"/>
      <c r="O22" s="638"/>
      <c r="P22" s="639"/>
      <c r="Q22" s="507"/>
      <c r="R22" s="41"/>
      <c r="S22" s="35"/>
      <c r="T22" s="35"/>
      <c r="U22" s="35" t="s">
        <v>36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479">
        <f>'Memoria de Calculo'!M22</f>
        <v>1175</v>
      </c>
      <c r="AI22" s="62"/>
      <c r="AJ22" s="62"/>
    </row>
    <row r="23" spans="1:47" ht="15">
      <c r="A23" s="507"/>
      <c r="B23" s="35"/>
      <c r="C23" s="40" t="s">
        <v>34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641"/>
      <c r="O23" s="641"/>
      <c r="P23" s="642"/>
      <c r="Q23" s="507"/>
      <c r="R23" s="41"/>
      <c r="S23" s="35"/>
      <c r="T23" s="35"/>
      <c r="U23" s="40" t="s">
        <v>38</v>
      </c>
      <c r="V23" s="40"/>
      <c r="W23" s="40"/>
      <c r="X23" s="40"/>
      <c r="Y23" s="40"/>
      <c r="Z23" s="40"/>
      <c r="AA23" s="35"/>
      <c r="AB23" s="35"/>
      <c r="AC23" s="35"/>
      <c r="AD23" s="35"/>
      <c r="AE23" s="35"/>
      <c r="AF23" s="35"/>
      <c r="AG23" s="64"/>
      <c r="AH23" s="483">
        <f>SUM(AH21:AH22)*AH20/AH19</f>
        <v>0.1493898947368421</v>
      </c>
      <c r="AI23" s="43"/>
      <c r="AJ23" s="43"/>
      <c r="AS23" s="2" t="s">
        <v>35</v>
      </c>
      <c r="AT23" s="2">
        <v>1</v>
      </c>
      <c r="AU23" s="63" t="str">
        <f>'[1]Tabela de Preços'!E7</f>
        <v>MICRO - VOLARE ESCOLAR V6L - MARCOPOLO</v>
      </c>
    </row>
    <row r="24" spans="1:47" ht="15.75" thickBot="1">
      <c r="A24" s="507"/>
      <c r="B24" s="35"/>
      <c r="C24" s="640" t="s">
        <v>26</v>
      </c>
      <c r="D24" s="640"/>
      <c r="E24" s="640"/>
      <c r="F24" s="640" t="s">
        <v>27</v>
      </c>
      <c r="G24" s="640"/>
      <c r="H24" s="640"/>
      <c r="I24" s="640" t="s">
        <v>28</v>
      </c>
      <c r="J24" s="640"/>
      <c r="K24" s="640"/>
      <c r="L24" s="640"/>
      <c r="M24" s="640"/>
      <c r="N24" s="641"/>
      <c r="O24" s="641"/>
      <c r="P24" s="642"/>
      <c r="Q24" s="507"/>
      <c r="R24" s="41"/>
      <c r="S24" s="35"/>
      <c r="T24" s="35"/>
      <c r="U24" s="35" t="s">
        <v>40</v>
      </c>
      <c r="V24" s="35"/>
      <c r="W24" s="35"/>
      <c r="X24" s="35"/>
      <c r="Y24" s="35"/>
      <c r="Z24" s="35"/>
      <c r="AA24" s="65"/>
      <c r="AB24" s="65"/>
      <c r="AC24" s="35"/>
      <c r="AD24" s="35"/>
      <c r="AE24" s="35"/>
      <c r="AF24" s="35"/>
      <c r="AG24" s="64"/>
      <c r="AH24" s="484">
        <f>IF(D6=1,'Memoria de Calculo'!M24,'Memoria de Calculo'!N24)</f>
        <v>50000</v>
      </c>
      <c r="AS24" s="2" t="s">
        <v>37</v>
      </c>
      <c r="AT24" s="2">
        <v>2</v>
      </c>
      <c r="AU24" s="63" t="str">
        <f>'[1]Tabela de Preços'!E8</f>
        <v>MICRO - THUNDER WAY - NEOBUS</v>
      </c>
    </row>
    <row r="25" spans="1:47" ht="15.75" thickBot="1">
      <c r="A25" s="465"/>
      <c r="B25" s="60"/>
      <c r="C25" s="643">
        <v>2013</v>
      </c>
      <c r="D25" s="643"/>
      <c r="E25" s="643"/>
      <c r="F25" s="643">
        <v>10</v>
      </c>
      <c r="G25" s="643"/>
      <c r="H25" s="643"/>
      <c r="I25" s="61"/>
      <c r="J25" s="644">
        <v>0.018</v>
      </c>
      <c r="K25" s="644"/>
      <c r="L25" s="644"/>
      <c r="M25" s="644"/>
      <c r="N25" s="645">
        <f>(J25*N17)/12</f>
        <v>225</v>
      </c>
      <c r="O25" s="645"/>
      <c r="P25" s="646"/>
      <c r="Q25" s="507"/>
      <c r="R25" s="41"/>
      <c r="S25" s="35"/>
      <c r="T25" s="35"/>
      <c r="U25" s="35" t="s">
        <v>29</v>
      </c>
      <c r="V25" s="35"/>
      <c r="W25" s="35"/>
      <c r="X25" s="35"/>
      <c r="Y25" s="35"/>
      <c r="Z25" s="35"/>
      <c r="AA25" s="65"/>
      <c r="AB25" s="65"/>
      <c r="AC25" s="35"/>
      <c r="AD25" s="35"/>
      <c r="AE25" s="35"/>
      <c r="AF25" s="35"/>
      <c r="AG25" s="67"/>
      <c r="AH25" s="484">
        <f>'Memoria de Calculo'!M25</f>
        <v>2</v>
      </c>
      <c r="AT25" s="2">
        <v>3</v>
      </c>
      <c r="AU25" s="63" t="str">
        <f>'[1]Tabela de Preços'!E9</f>
        <v>MICRO - GRAN MICRO URBANO - MASCARELLO</v>
      </c>
    </row>
    <row r="26" spans="1:47" ht="15">
      <c r="A26" s="463"/>
      <c r="B26" s="53" t="s">
        <v>39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38"/>
      <c r="O26" s="638"/>
      <c r="P26" s="639"/>
      <c r="Q26" s="507"/>
      <c r="R26" s="41"/>
      <c r="S26" s="35"/>
      <c r="T26" s="35"/>
      <c r="U26" s="35" t="s">
        <v>31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49"/>
      <c r="AH26" s="479">
        <f>'Memoria de Calculo'!M22</f>
        <v>1175</v>
      </c>
      <c r="AT26" s="2">
        <v>4</v>
      </c>
      <c r="AU26" s="63" t="str">
        <f>'[1]Tabela de Preços'!E10</f>
        <v>MICRO - PHANTER SPECIAL - WALKBUS</v>
      </c>
    </row>
    <row r="27" spans="1:47" ht="15">
      <c r="A27" s="507"/>
      <c r="B27" s="35"/>
      <c r="C27" s="40" t="s">
        <v>41</v>
      </c>
      <c r="D27" s="35"/>
      <c r="E27" s="35"/>
      <c r="F27" s="66"/>
      <c r="G27" s="66"/>
      <c r="H27" s="650" t="s">
        <v>42</v>
      </c>
      <c r="I27" s="650"/>
      <c r="J27" s="651" t="s">
        <v>43</v>
      </c>
      <c r="K27" s="651"/>
      <c r="L27" s="651"/>
      <c r="M27" s="651"/>
      <c r="N27" s="652" t="s">
        <v>44</v>
      </c>
      <c r="O27" s="652"/>
      <c r="P27" s="653"/>
      <c r="Q27" s="507"/>
      <c r="R27" s="41"/>
      <c r="S27" s="35"/>
      <c r="T27" s="35"/>
      <c r="U27" s="65" t="s">
        <v>46</v>
      </c>
      <c r="V27" s="65"/>
      <c r="W27" s="65"/>
      <c r="X27" s="65"/>
      <c r="Y27" s="65"/>
      <c r="Z27" s="65"/>
      <c r="AA27" s="35"/>
      <c r="AB27" s="35"/>
      <c r="AC27" s="35"/>
      <c r="AD27" s="35"/>
      <c r="AE27" s="35"/>
      <c r="AF27" s="35"/>
      <c r="AG27" s="49"/>
      <c r="AH27" s="480">
        <f>(AH26*AH25)/AH24</f>
        <v>0.047</v>
      </c>
      <c r="AT27" s="2">
        <v>5</v>
      </c>
      <c r="AU27" s="63" t="str">
        <f>'[1]Tabela de Preços'!E11</f>
        <v>MICRO - VOLARE W9 - MARCOPOLO</v>
      </c>
    </row>
    <row r="28" spans="1:47" ht="15">
      <c r="A28" s="466"/>
      <c r="B28" s="58"/>
      <c r="C28" s="58"/>
      <c r="D28" s="654" t="s">
        <v>45</v>
      </c>
      <c r="E28" s="654"/>
      <c r="F28" s="655"/>
      <c r="G28" s="655"/>
      <c r="H28" s="355">
        <v>1</v>
      </c>
      <c r="I28" s="58"/>
      <c r="J28" s="58"/>
      <c r="K28" s="58"/>
      <c r="L28" s="58"/>
      <c r="M28" s="58"/>
      <c r="N28" s="656">
        <f>VLOOKUP(D6,Parametro!A:L,7,0)</f>
        <v>2390.03</v>
      </c>
      <c r="O28" s="656"/>
      <c r="P28" s="657"/>
      <c r="Q28" s="507"/>
      <c r="R28" s="41"/>
      <c r="S28" s="35"/>
      <c r="T28" s="35"/>
      <c r="U28" s="65" t="s">
        <v>47</v>
      </c>
      <c r="V28" s="65"/>
      <c r="W28" s="65"/>
      <c r="X28" s="65"/>
      <c r="Y28" s="65"/>
      <c r="Z28" s="65"/>
      <c r="AA28" s="35"/>
      <c r="AB28" s="35"/>
      <c r="AC28" s="35"/>
      <c r="AD28" s="35"/>
      <c r="AE28" s="35"/>
      <c r="AF28" s="35"/>
      <c r="AG28" s="68"/>
      <c r="AH28" s="480">
        <f>SUM(AH23,AH27)</f>
        <v>0.1963898947368421</v>
      </c>
      <c r="AT28" s="2">
        <v>6</v>
      </c>
      <c r="AU28" s="63" t="str">
        <f>'[1]Tabela de Preços'!E12</f>
        <v>MICRO - VOLARE A5/V5 - MARCOPOLO</v>
      </c>
    </row>
    <row r="29" spans="1:47" ht="15">
      <c r="A29" s="466"/>
      <c r="B29" s="58"/>
      <c r="C29" s="58"/>
      <c r="D29" s="654" t="s">
        <v>296</v>
      </c>
      <c r="E29" s="654"/>
      <c r="F29" s="655"/>
      <c r="G29" s="655"/>
      <c r="H29" s="355">
        <v>1</v>
      </c>
      <c r="I29" s="58"/>
      <c r="J29" s="58"/>
      <c r="K29" s="58"/>
      <c r="L29" s="58"/>
      <c r="M29" s="58"/>
      <c r="N29" s="656">
        <f>VLOOKUP(D6,Parametro!A:M,11,0)</f>
        <v>0</v>
      </c>
      <c r="O29" s="656"/>
      <c r="P29" s="657"/>
      <c r="Q29" s="476"/>
      <c r="R29" s="415"/>
      <c r="S29" s="412"/>
      <c r="T29" s="413" t="s">
        <v>48</v>
      </c>
      <c r="U29" s="412"/>
      <c r="V29" s="412"/>
      <c r="W29" s="412"/>
      <c r="X29" s="412"/>
      <c r="Y29" s="412"/>
      <c r="Z29" s="412"/>
      <c r="AA29" s="416"/>
      <c r="AB29" s="416"/>
      <c r="AC29" s="412"/>
      <c r="AD29" s="412"/>
      <c r="AE29" s="412"/>
      <c r="AF29" s="412"/>
      <c r="AG29" s="417"/>
      <c r="AH29" s="485"/>
      <c r="AT29" s="2">
        <v>7</v>
      </c>
      <c r="AU29" s="63" t="str">
        <f>'[1]Tabela de Preços'!E13</f>
        <v>MICRO - VOLARE A6/V6 - MARCOPOLO</v>
      </c>
    </row>
    <row r="30" spans="1:47" ht="15.75" thickBot="1">
      <c r="A30" s="46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58">
        <f>SUM(N28:P29)</f>
        <v>2390.03</v>
      </c>
      <c r="O30" s="658"/>
      <c r="P30" s="659"/>
      <c r="Q30" s="466"/>
      <c r="R30" s="57"/>
      <c r="S30" s="58"/>
      <c r="T30" s="58"/>
      <c r="U30" s="58" t="s">
        <v>50</v>
      </c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69"/>
      <c r="AH30" s="484"/>
      <c r="AT30" s="2">
        <v>8</v>
      </c>
      <c r="AU30" s="63" t="str">
        <f>'[1]Tabela de Preços'!E14</f>
        <v>MICRO - T. BOY/WAY - NEOBUS</v>
      </c>
    </row>
    <row r="31" spans="1:47" ht="15.75" thickBot="1">
      <c r="A31" s="660">
        <v>2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2"/>
      <c r="Q31" s="507"/>
      <c r="R31" s="41"/>
      <c r="S31" s="35"/>
      <c r="T31" s="35"/>
      <c r="U31" s="35" t="s">
        <v>52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70"/>
      <c r="AH31" s="486">
        <f>VLOOKUP(D6,Parametro!A:L,10,0)</f>
        <v>0.1115480588</v>
      </c>
      <c r="AT31" s="2">
        <v>9</v>
      </c>
      <c r="AU31" s="63" t="str">
        <f>'[1]Tabela de Preços'!E15</f>
        <v>MICRO - THUNDER PLUS - NEOBUS</v>
      </c>
    </row>
    <row r="32" spans="1:47" ht="15">
      <c r="A32" s="647" t="s">
        <v>49</v>
      </c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9"/>
      <c r="Q32" s="507"/>
      <c r="R32" s="41"/>
      <c r="S32" s="35"/>
      <c r="T32" s="35"/>
      <c r="U32" s="46" t="s">
        <v>54</v>
      </c>
      <c r="V32" s="46"/>
      <c r="W32" s="46"/>
      <c r="X32" s="46"/>
      <c r="Y32" s="46"/>
      <c r="Z32" s="46"/>
      <c r="AA32" s="35"/>
      <c r="AB32" s="35"/>
      <c r="AC32" s="35"/>
      <c r="AD32" s="35"/>
      <c r="AE32" s="35"/>
      <c r="AF32" s="35"/>
      <c r="AG32" s="72"/>
      <c r="AH32" s="486">
        <f>VLOOKUP(D6,Parametro!A:L,9,0)</f>
        <v>0.3</v>
      </c>
      <c r="AT32" s="2">
        <v>10</v>
      </c>
      <c r="AU32" s="63" t="str">
        <f>'[1]Tabela de Preços'!E16</f>
        <v>MICRO - VOLARE A6 - MARCOPOLO</v>
      </c>
    </row>
    <row r="33" spans="1:47" ht="15">
      <c r="A33" s="362"/>
      <c r="B33" s="363"/>
      <c r="C33" s="611" t="s">
        <v>51</v>
      </c>
      <c r="D33" s="611"/>
      <c r="E33" s="611"/>
      <c r="F33" s="611"/>
      <c r="G33" s="363"/>
      <c r="H33" s="363"/>
      <c r="I33" s="363"/>
      <c r="J33" s="364"/>
      <c r="K33" s="364"/>
      <c r="L33" s="364">
        <v>0.2</v>
      </c>
      <c r="M33" s="365">
        <f>IF($A$31=1,'Memoria de Calculo'!O80,'Memoria de Calculo'!O114)</f>
        <v>0.2</v>
      </c>
      <c r="N33" s="599">
        <f>(N$30*M33)</f>
        <v>478.0060000000001</v>
      </c>
      <c r="O33" s="599"/>
      <c r="P33" s="600"/>
      <c r="Q33" s="507"/>
      <c r="R33" s="41"/>
      <c r="S33" s="35"/>
      <c r="T33" s="35"/>
      <c r="U33" s="684" t="s">
        <v>15</v>
      </c>
      <c r="V33" s="684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480">
        <f>SUM(AH31:AH32)</f>
        <v>0.4115480588</v>
      </c>
      <c r="AT33" s="2">
        <v>11</v>
      </c>
      <c r="AU33" s="63" t="str">
        <f>'[1]Tabela de Preços'!E17</f>
        <v>MICRO - VOLARE A8 - MARCOPOLO</v>
      </c>
    </row>
    <row r="34" spans="1:47" ht="15">
      <c r="A34" s="362"/>
      <c r="B34" s="363"/>
      <c r="C34" s="611" t="s">
        <v>250</v>
      </c>
      <c r="D34" s="611"/>
      <c r="E34" s="611"/>
      <c r="F34" s="611"/>
      <c r="G34" s="363"/>
      <c r="H34" s="363"/>
      <c r="I34" s="363"/>
      <c r="J34" s="365"/>
      <c r="K34" s="365"/>
      <c r="L34" s="365">
        <v>0.015</v>
      </c>
      <c r="M34" s="365">
        <f>IF($A$31=1,'Memoria de Calculo'!O81,'Memoria de Calculo'!O115)</f>
        <v>0.015</v>
      </c>
      <c r="N34" s="599">
        <f aca="true" t="shared" si="0" ref="N34:N40">(N$30*M34)</f>
        <v>35.85045</v>
      </c>
      <c r="O34" s="599"/>
      <c r="P34" s="600"/>
      <c r="Q34" s="476"/>
      <c r="R34" s="415"/>
      <c r="S34" s="412"/>
      <c r="T34" s="413" t="s">
        <v>57</v>
      </c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81"/>
      <c r="AT34" s="2">
        <v>12</v>
      </c>
      <c r="AU34" s="63" t="str">
        <f>'[1]Tabela de Preços'!E18</f>
        <v>MICRO - VOLARE DW9 - MARCOPOLO</v>
      </c>
    </row>
    <row r="35" spans="1:47" ht="15">
      <c r="A35" s="362"/>
      <c r="B35" s="363"/>
      <c r="C35" s="611" t="s">
        <v>251</v>
      </c>
      <c r="D35" s="611"/>
      <c r="E35" s="611"/>
      <c r="F35" s="611"/>
      <c r="G35" s="363"/>
      <c r="H35" s="363"/>
      <c r="I35" s="363"/>
      <c r="J35" s="365"/>
      <c r="K35" s="365"/>
      <c r="L35" s="365">
        <v>0.01</v>
      </c>
      <c r="M35" s="365">
        <f>IF($A$31=1,'Memoria de Calculo'!O82,'Memoria de Calculo'!O116)</f>
        <v>0.01</v>
      </c>
      <c r="N35" s="599">
        <f t="shared" si="0"/>
        <v>23.9003</v>
      </c>
      <c r="O35" s="599"/>
      <c r="P35" s="600"/>
      <c r="Q35" s="507"/>
      <c r="R35" s="41"/>
      <c r="S35" s="35"/>
      <c r="T35" s="74"/>
      <c r="U35" s="35" t="s">
        <v>59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487">
        <f>SUM(AH13,AH17,AH28,AH33)</f>
        <v>2.812637953536842</v>
      </c>
      <c r="AT35" s="2">
        <v>13</v>
      </c>
      <c r="AU35" s="63" t="str">
        <f>'[1]Tabela de Preços'!E19</f>
        <v>MICRO - VOLARE V8 - MARCOPOLO</v>
      </c>
    </row>
    <row r="36" spans="1:47" ht="15">
      <c r="A36" s="362"/>
      <c r="B36" s="363"/>
      <c r="C36" s="611" t="s">
        <v>56</v>
      </c>
      <c r="D36" s="611"/>
      <c r="E36" s="611"/>
      <c r="F36" s="611"/>
      <c r="G36" s="363"/>
      <c r="H36" s="363"/>
      <c r="I36" s="363"/>
      <c r="J36" s="365"/>
      <c r="K36" s="365"/>
      <c r="L36" s="365">
        <v>0.002</v>
      </c>
      <c r="M36" s="365">
        <f>IF($A$31=1,'Memoria de Calculo'!O83,'Memoria de Calculo'!O117)</f>
        <v>0.002</v>
      </c>
      <c r="N36" s="599">
        <f t="shared" si="0"/>
        <v>4.780060000000001</v>
      </c>
      <c r="O36" s="599"/>
      <c r="P36" s="600"/>
      <c r="Q36" s="507"/>
      <c r="R36" s="41"/>
      <c r="S36" s="35"/>
      <c r="T36" s="74"/>
      <c r="U36" s="35" t="s">
        <v>61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488">
        <f>W6</f>
        <v>90</v>
      </c>
      <c r="AI36" s="73"/>
      <c r="AJ36" s="73"/>
      <c r="AT36" s="2">
        <v>14</v>
      </c>
      <c r="AU36" s="63" t="str">
        <f>'[1]Tabela de Preços'!E20</f>
        <v>ÔNIBUS - MB OM 924 LA - MERCEDES-BENS</v>
      </c>
    </row>
    <row r="37" spans="1:47" ht="18" customHeight="1">
      <c r="A37" s="362"/>
      <c r="B37" s="363"/>
      <c r="C37" s="611" t="s">
        <v>58</v>
      </c>
      <c r="D37" s="611"/>
      <c r="E37" s="611"/>
      <c r="F37" s="611"/>
      <c r="G37" s="363"/>
      <c r="H37" s="363"/>
      <c r="I37" s="363"/>
      <c r="J37" s="365"/>
      <c r="K37" s="365"/>
      <c r="L37" s="365">
        <v>0.025</v>
      </c>
      <c r="M37" s="365">
        <f>IF($A$31=1,'Memoria de Calculo'!O84,'Memoria de Calculo'!O118)</f>
        <v>0.025</v>
      </c>
      <c r="N37" s="599">
        <f t="shared" si="0"/>
        <v>59.75075000000001</v>
      </c>
      <c r="O37" s="599"/>
      <c r="P37" s="600"/>
      <c r="Q37" s="507"/>
      <c r="R37" s="35"/>
      <c r="S37" s="35"/>
      <c r="T37" s="74"/>
      <c r="U37" s="35" t="s">
        <v>63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89">
        <v>20</v>
      </c>
      <c r="AI37" s="75"/>
      <c r="AJ37" s="75"/>
      <c r="AT37" s="2">
        <v>15</v>
      </c>
      <c r="AU37" s="63" t="str">
        <f>'[1]Tabela de Preços'!E21</f>
        <v>ÔNIBUS - NEOBUS MEGA - NEOBUS</v>
      </c>
    </row>
    <row r="38" spans="1:47" ht="15">
      <c r="A38" s="362"/>
      <c r="B38" s="363"/>
      <c r="C38" s="611" t="s">
        <v>60</v>
      </c>
      <c r="D38" s="611"/>
      <c r="E38" s="611"/>
      <c r="F38" s="611"/>
      <c r="G38" s="363"/>
      <c r="H38" s="363"/>
      <c r="I38" s="363"/>
      <c r="J38" s="365"/>
      <c r="K38" s="365"/>
      <c r="L38" s="365">
        <v>0.08</v>
      </c>
      <c r="M38" s="365">
        <f>IF($A$31=1,'Memoria de Calculo'!O85,'Memoria de Calculo'!O119)</f>
        <v>0.08</v>
      </c>
      <c r="N38" s="599">
        <f t="shared" si="0"/>
        <v>191.2024</v>
      </c>
      <c r="O38" s="599"/>
      <c r="P38" s="600"/>
      <c r="Q38" s="507"/>
      <c r="R38" s="35"/>
      <c r="S38" s="35"/>
      <c r="T38" s="74"/>
      <c r="U38" s="35" t="s">
        <v>65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489">
        <f>AH36*AH37</f>
        <v>1800</v>
      </c>
      <c r="AI38" s="75"/>
      <c r="AJ38" s="75"/>
      <c r="AT38" s="2">
        <v>16</v>
      </c>
      <c r="AU38" s="63" t="str">
        <f>'[1]Tabela de Preços'!E22</f>
        <v>ÔNIBUS - CITIMAX - CIFERAL</v>
      </c>
    </row>
    <row r="39" spans="1:47" ht="15">
      <c r="A39" s="362"/>
      <c r="B39" s="363"/>
      <c r="C39" s="611" t="s">
        <v>62</v>
      </c>
      <c r="D39" s="611"/>
      <c r="E39" s="611"/>
      <c r="F39" s="611"/>
      <c r="G39" s="363"/>
      <c r="H39" s="363"/>
      <c r="I39" s="363"/>
      <c r="J39" s="365"/>
      <c r="K39" s="365"/>
      <c r="L39" s="365">
        <v>0.03</v>
      </c>
      <c r="M39" s="365">
        <f>IF($A$31=1,'Memoria de Calculo'!O86,'Memoria de Calculo'!O120)</f>
        <v>0.03</v>
      </c>
      <c r="N39" s="599">
        <f t="shared" si="0"/>
        <v>71.7009</v>
      </c>
      <c r="O39" s="599"/>
      <c r="P39" s="600"/>
      <c r="Q39" s="507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474"/>
      <c r="AI39" s="75"/>
      <c r="AJ39" s="75"/>
      <c r="AT39" s="2">
        <v>17</v>
      </c>
      <c r="AU39" s="63" t="str">
        <f>'[1]Tabela de Preços'!E23</f>
        <v>ÔNIBUS - GRAN VIA - MASCARELLO</v>
      </c>
    </row>
    <row r="40" spans="1:47" ht="15.75" thickBot="1">
      <c r="A40" s="362"/>
      <c r="B40" s="363"/>
      <c r="C40" s="611" t="s">
        <v>64</v>
      </c>
      <c r="D40" s="611"/>
      <c r="E40" s="611"/>
      <c r="F40" s="611"/>
      <c r="G40" s="363"/>
      <c r="H40" s="363"/>
      <c r="I40" s="363"/>
      <c r="J40" s="365"/>
      <c r="K40" s="365"/>
      <c r="L40" s="365">
        <v>0.006</v>
      </c>
      <c r="M40" s="365">
        <f>IF($A$31=1,'Memoria de Calculo'!O87,'Memoria de Calculo'!O121)</f>
        <v>0.006</v>
      </c>
      <c r="N40" s="599">
        <f t="shared" si="0"/>
        <v>14.340180000000002</v>
      </c>
      <c r="O40" s="599"/>
      <c r="P40" s="600"/>
      <c r="Q40" s="460"/>
      <c r="R40" s="47"/>
      <c r="S40" s="47"/>
      <c r="T40" s="47"/>
      <c r="U40" s="76" t="s">
        <v>67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77"/>
      <c r="AH40" s="490">
        <f>(AH35*AH38)</f>
        <v>5062.7483163663155</v>
      </c>
      <c r="AT40" s="2">
        <v>18</v>
      </c>
      <c r="AU40" s="63" t="str">
        <f>'[1]Tabela de Preços'!E24</f>
        <v>ÔNIBUS - APACHE VIP - MERCEDES-BENS</v>
      </c>
    </row>
    <row r="41" spans="1:47" ht="15.75" thickBot="1">
      <c r="A41" s="362"/>
      <c r="B41" s="363"/>
      <c r="C41" s="366" t="s">
        <v>66</v>
      </c>
      <c r="D41" s="366"/>
      <c r="E41" s="366"/>
      <c r="F41" s="366"/>
      <c r="G41" s="363"/>
      <c r="H41" s="363"/>
      <c r="I41" s="363"/>
      <c r="J41" s="663">
        <f>SUM(M33:M40)</f>
        <v>0.3680000000000001</v>
      </c>
      <c r="K41" s="663"/>
      <c r="L41" s="663"/>
      <c r="M41" s="663"/>
      <c r="N41" s="664">
        <f>SUM(N33:P40)</f>
        <v>879.5310400000003</v>
      </c>
      <c r="O41" s="664"/>
      <c r="P41" s="665"/>
      <c r="Q41" s="491"/>
      <c r="R41" s="424"/>
      <c r="S41" s="425"/>
      <c r="T41" s="426" t="s">
        <v>69</v>
      </c>
      <c r="U41" s="426"/>
      <c r="V41" s="426"/>
      <c r="W41" s="426"/>
      <c r="X41" s="426"/>
      <c r="Y41" s="426"/>
      <c r="Z41" s="425"/>
      <c r="AA41" s="425"/>
      <c r="AB41" s="425"/>
      <c r="AC41" s="425"/>
      <c r="AD41" s="425"/>
      <c r="AE41" s="425"/>
      <c r="AF41" s="666">
        <f>AH40</f>
        <v>5062.7483163663155</v>
      </c>
      <c r="AG41" s="666"/>
      <c r="AH41" s="492"/>
      <c r="AT41" s="2">
        <v>19</v>
      </c>
      <c r="AU41" s="63" t="str">
        <f>'[1]Tabela de Preços'!E25</f>
        <v>ÔNIBUS - TORINO - MARCOPOLO</v>
      </c>
    </row>
    <row r="42" spans="1:47" ht="15.75" thickBot="1">
      <c r="A42" s="362"/>
      <c r="B42" s="363"/>
      <c r="C42" s="363"/>
      <c r="D42" s="363"/>
      <c r="E42" s="366"/>
      <c r="F42" s="363"/>
      <c r="G42" s="363"/>
      <c r="H42" s="363"/>
      <c r="I42" s="363"/>
      <c r="J42" s="363"/>
      <c r="K42" s="367"/>
      <c r="L42" s="510"/>
      <c r="M42" s="510"/>
      <c r="N42" s="599"/>
      <c r="O42" s="599"/>
      <c r="P42" s="600"/>
      <c r="Q42" s="491"/>
      <c r="R42" s="424"/>
      <c r="S42" s="425"/>
      <c r="T42" s="426" t="s">
        <v>71</v>
      </c>
      <c r="U42" s="426"/>
      <c r="V42" s="426"/>
      <c r="W42" s="426"/>
      <c r="X42" s="426"/>
      <c r="Y42" s="426"/>
      <c r="Z42" s="425"/>
      <c r="AA42" s="425"/>
      <c r="AB42" s="425"/>
      <c r="AC42" s="425"/>
      <c r="AD42" s="425"/>
      <c r="AE42" s="425"/>
      <c r="AF42" s="667">
        <f>SUM(N88,AF41)</f>
        <v>11663.03487894965</v>
      </c>
      <c r="AG42" s="667"/>
      <c r="AH42" s="492"/>
      <c r="AT42" s="2">
        <v>20</v>
      </c>
      <c r="AU42" s="63" t="str">
        <f>'[1]Tabela de Preços'!E26</f>
        <v>ÔNIBUS - VIALLE - MARCOPOLO</v>
      </c>
    </row>
    <row r="43" spans="1:47" ht="15.75" thickBot="1">
      <c r="A43" s="612" t="s">
        <v>68</v>
      </c>
      <c r="B43" s="613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4"/>
      <c r="Q43" s="493"/>
      <c r="R43" s="418"/>
      <c r="S43" s="419"/>
      <c r="T43" s="413" t="s">
        <v>73</v>
      </c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20"/>
      <c r="AH43" s="494"/>
      <c r="AT43" s="2">
        <v>21</v>
      </c>
      <c r="AU43" s="63" t="str">
        <f>'[1]Tabela de Preços'!E27</f>
        <v>ÔNIBUS - SPECTRUM - NEOBUS</v>
      </c>
    </row>
    <row r="44" spans="1:47" ht="15">
      <c r="A44" s="362"/>
      <c r="B44" s="363"/>
      <c r="C44" s="593" t="s">
        <v>252</v>
      </c>
      <c r="D44" s="593"/>
      <c r="E44" s="593"/>
      <c r="F44" s="593"/>
      <c r="G44" s="363"/>
      <c r="H44" s="363"/>
      <c r="I44" s="363"/>
      <c r="J44" s="615">
        <v>0.1111</v>
      </c>
      <c r="K44" s="615"/>
      <c r="L44" s="615"/>
      <c r="M44" s="615"/>
      <c r="N44" s="599">
        <f aca="true" t="shared" si="1" ref="N44:N51">(N$30*J44)</f>
        <v>265.53233300000005</v>
      </c>
      <c r="O44" s="599"/>
      <c r="P44" s="600"/>
      <c r="Q44" s="507"/>
      <c r="R44" s="41"/>
      <c r="S44" s="35"/>
      <c r="T44" s="35"/>
      <c r="U44" s="35" t="s">
        <v>75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668">
        <f>AF42</f>
        <v>11663.03487894965</v>
      </c>
      <c r="AH44" s="669"/>
      <c r="AT44" s="2">
        <v>22</v>
      </c>
      <c r="AU44" s="63" t="str">
        <f>'[1]Tabela de Preços'!E28</f>
        <v>ÔNIBUS - VIALE CITY PLUS - MARCOPOLO</v>
      </c>
    </row>
    <row r="45" spans="1:47" ht="15">
      <c r="A45" s="362"/>
      <c r="B45" s="363"/>
      <c r="C45" s="593" t="s">
        <v>72</v>
      </c>
      <c r="D45" s="593"/>
      <c r="E45" s="593"/>
      <c r="F45" s="593"/>
      <c r="G45" s="363"/>
      <c r="H45" s="363"/>
      <c r="I45" s="363"/>
      <c r="J45" s="615">
        <v>0.0194</v>
      </c>
      <c r="K45" s="615"/>
      <c r="L45" s="615"/>
      <c r="M45" s="615"/>
      <c r="N45" s="599">
        <f t="shared" si="1"/>
        <v>46.36658200000001</v>
      </c>
      <c r="O45" s="599"/>
      <c r="P45" s="600"/>
      <c r="Q45" s="507"/>
      <c r="R45" s="41"/>
      <c r="S45" s="35"/>
      <c r="T45" s="35"/>
      <c r="U45" s="35" t="s">
        <v>77</v>
      </c>
      <c r="V45" s="35"/>
      <c r="W45" s="35"/>
      <c r="X45" s="35"/>
      <c r="Y45" s="35"/>
      <c r="Z45" s="35"/>
      <c r="AA45" s="35"/>
      <c r="AB45" s="35"/>
      <c r="AC45" s="35"/>
      <c r="AD45" s="35"/>
      <c r="AE45" s="66"/>
      <c r="AF45" s="78">
        <v>0.15</v>
      </c>
      <c r="AG45" s="670">
        <f>(AG44*AF45)</f>
        <v>1749.4552318424473</v>
      </c>
      <c r="AH45" s="671"/>
      <c r="AT45" s="2">
        <v>23</v>
      </c>
      <c r="AU45" s="63" t="str">
        <f>'[1]Tabela de Preços'!E29</f>
        <v>ÔNIBUS -  APACHE VIP - CAIO</v>
      </c>
    </row>
    <row r="46" spans="1:47" ht="15">
      <c r="A46" s="362"/>
      <c r="B46" s="363"/>
      <c r="C46" s="593" t="s">
        <v>253</v>
      </c>
      <c r="D46" s="593"/>
      <c r="E46" s="593"/>
      <c r="F46" s="593"/>
      <c r="G46" s="363"/>
      <c r="H46" s="363"/>
      <c r="I46" s="363"/>
      <c r="J46" s="615">
        <v>0.0041</v>
      </c>
      <c r="K46" s="615"/>
      <c r="L46" s="615"/>
      <c r="M46" s="615"/>
      <c r="N46" s="599">
        <f t="shared" si="1"/>
        <v>9.799123000000002</v>
      </c>
      <c r="O46" s="599"/>
      <c r="P46" s="600"/>
      <c r="Q46" s="507"/>
      <c r="R46" s="41"/>
      <c r="S46" s="35"/>
      <c r="T46" s="35"/>
      <c r="U46" s="40" t="s">
        <v>15</v>
      </c>
      <c r="V46" s="35"/>
      <c r="W46" s="35"/>
      <c r="X46" s="35"/>
      <c r="Y46" s="35"/>
      <c r="Z46" s="35"/>
      <c r="AA46" s="35"/>
      <c r="AB46" s="35"/>
      <c r="AC46" s="35"/>
      <c r="AD46" s="35"/>
      <c r="AE46" s="79"/>
      <c r="AF46" s="71"/>
      <c r="AG46" s="668">
        <f>SUM(AG44:AH45)</f>
        <v>13412.490110792096</v>
      </c>
      <c r="AH46" s="669"/>
      <c r="AT46" s="2">
        <v>24</v>
      </c>
      <c r="AU46" s="63" t="str">
        <f>'[1]Tabela de Preços'!E30</f>
        <v>ÔNIBUS - SENIOR MIDI - MARCOPOLO</v>
      </c>
    </row>
    <row r="47" spans="1:47" ht="15">
      <c r="A47" s="362"/>
      <c r="B47" s="363"/>
      <c r="C47" s="593" t="s">
        <v>254</v>
      </c>
      <c r="D47" s="593"/>
      <c r="E47" s="593"/>
      <c r="F47" s="593"/>
      <c r="G47" s="363"/>
      <c r="H47" s="363"/>
      <c r="I47" s="363"/>
      <c r="J47" s="615">
        <v>0.0007</v>
      </c>
      <c r="K47" s="615"/>
      <c r="L47" s="615"/>
      <c r="M47" s="615"/>
      <c r="N47" s="599">
        <f t="shared" si="1"/>
        <v>1.673021</v>
      </c>
      <c r="O47" s="599"/>
      <c r="P47" s="600"/>
      <c r="Q47" s="507"/>
      <c r="R47" s="41"/>
      <c r="S47" s="35"/>
      <c r="T47" s="35"/>
      <c r="U47" s="40"/>
      <c r="V47" s="35"/>
      <c r="W47" s="35"/>
      <c r="X47" s="35"/>
      <c r="Y47" s="35"/>
      <c r="Z47" s="35"/>
      <c r="AA47" s="35"/>
      <c r="AB47" s="35"/>
      <c r="AC47" s="35"/>
      <c r="AD47" s="35"/>
      <c r="AE47" s="79"/>
      <c r="AF47" s="71"/>
      <c r="AG47" s="512"/>
      <c r="AH47" s="495"/>
      <c r="AT47" s="2">
        <v>25</v>
      </c>
      <c r="AU47" s="63" t="str">
        <f>'[1]Tabela de Preços'!E31</f>
        <v>ÔNIBUS - 17-230 - VOLKSQWAGEN</v>
      </c>
    </row>
    <row r="48" spans="1:47" ht="15">
      <c r="A48" s="362"/>
      <c r="B48" s="363"/>
      <c r="C48" s="593" t="s">
        <v>255</v>
      </c>
      <c r="D48" s="593"/>
      <c r="E48" s="593"/>
      <c r="F48" s="593"/>
      <c r="G48" s="363"/>
      <c r="H48" s="363"/>
      <c r="I48" s="363"/>
      <c r="J48" s="615">
        <v>0.0007</v>
      </c>
      <c r="K48" s="615"/>
      <c r="L48" s="615"/>
      <c r="M48" s="615"/>
      <c r="N48" s="599">
        <f t="shared" si="1"/>
        <v>1.673021</v>
      </c>
      <c r="O48" s="599"/>
      <c r="P48" s="600"/>
      <c r="Q48" s="476"/>
      <c r="R48" s="415"/>
      <c r="S48" s="412"/>
      <c r="T48" s="413" t="s">
        <v>80</v>
      </c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21"/>
      <c r="AH48" s="481"/>
      <c r="AT48" s="2">
        <v>26</v>
      </c>
      <c r="AU48" s="63" t="str">
        <f>'[1]Tabela de Preços'!E32</f>
        <v>ÔNIBUS - OF-1519  - MERCEDES-BENZ</v>
      </c>
    </row>
    <row r="49" spans="1:47" ht="15" customHeight="1">
      <c r="A49" s="362"/>
      <c r="B49" s="363"/>
      <c r="C49" s="593" t="s">
        <v>81</v>
      </c>
      <c r="D49" s="593"/>
      <c r="E49" s="593"/>
      <c r="F49" s="593"/>
      <c r="G49" s="363"/>
      <c r="H49" s="363"/>
      <c r="I49" s="363"/>
      <c r="J49" s="615">
        <v>0.0001</v>
      </c>
      <c r="K49" s="615"/>
      <c r="L49" s="615"/>
      <c r="M49" s="615"/>
      <c r="N49" s="599">
        <f t="shared" si="1"/>
        <v>0.23900300000000002</v>
      </c>
      <c r="O49" s="599"/>
      <c r="P49" s="600"/>
      <c r="Q49" s="507"/>
      <c r="R49" s="41"/>
      <c r="S49" s="35"/>
      <c r="T49" s="35"/>
      <c r="U49" s="35" t="s">
        <v>82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672">
        <f>AG46</f>
        <v>13412.490110792096</v>
      </c>
      <c r="AH49" s="673"/>
      <c r="AT49" s="2">
        <v>27</v>
      </c>
      <c r="AU49" s="63" t="str">
        <f>'[1]Tabela de Preços'!E33</f>
        <v>ÔNIBUS - OF-1722  - MERCEDES-BENZ</v>
      </c>
    </row>
    <row r="50" spans="1:47" ht="15">
      <c r="A50" s="362"/>
      <c r="B50" s="363"/>
      <c r="C50" s="258" t="s">
        <v>76</v>
      </c>
      <c r="D50" s="258"/>
      <c r="E50" s="258"/>
      <c r="F50" s="258"/>
      <c r="G50" s="363"/>
      <c r="H50" s="363"/>
      <c r="I50" s="363"/>
      <c r="J50" s="615">
        <v>0.002</v>
      </c>
      <c r="K50" s="615"/>
      <c r="L50" s="615"/>
      <c r="M50" s="615"/>
      <c r="N50" s="599">
        <f t="shared" si="1"/>
        <v>4.780060000000001</v>
      </c>
      <c r="O50" s="599"/>
      <c r="P50" s="600"/>
      <c r="Q50" s="507"/>
      <c r="R50" s="41"/>
      <c r="S50" s="35"/>
      <c r="T50" s="35"/>
      <c r="U50" s="35" t="s">
        <v>84</v>
      </c>
      <c r="V50" s="35"/>
      <c r="W50" s="35"/>
      <c r="X50" s="35"/>
      <c r="Y50" s="35"/>
      <c r="Z50" s="35"/>
      <c r="AA50" s="35"/>
      <c r="AB50" s="35"/>
      <c r="AC50" s="35"/>
      <c r="AD50" s="35"/>
      <c r="AE50" s="66"/>
      <c r="AF50" s="78">
        <v>0.2</v>
      </c>
      <c r="AG50" s="670">
        <f>(AF50*AG49)</f>
        <v>2682.498022158419</v>
      </c>
      <c r="AH50" s="671"/>
      <c r="AT50" s="2">
        <v>28</v>
      </c>
      <c r="AU50" s="63" t="str">
        <f>'[1]Tabela de Preços'!E34</f>
        <v>ÔNIBUS - OH-1628  - MERCEDES-BENZ</v>
      </c>
    </row>
    <row r="51" spans="1:47" ht="15">
      <c r="A51" s="362"/>
      <c r="B51" s="363"/>
      <c r="C51" s="593" t="s">
        <v>83</v>
      </c>
      <c r="D51" s="593"/>
      <c r="E51" s="593"/>
      <c r="F51" s="593"/>
      <c r="G51" s="363"/>
      <c r="H51" s="363"/>
      <c r="I51" s="363"/>
      <c r="J51" s="615">
        <v>0.0833</v>
      </c>
      <c r="K51" s="615"/>
      <c r="L51" s="615"/>
      <c r="M51" s="615"/>
      <c r="N51" s="599">
        <f t="shared" si="1"/>
        <v>199.08949900000002</v>
      </c>
      <c r="O51" s="599"/>
      <c r="P51" s="600"/>
      <c r="Q51" s="507"/>
      <c r="R51" s="41"/>
      <c r="S51" s="35"/>
      <c r="T51" s="35"/>
      <c r="U51" s="40" t="s">
        <v>15</v>
      </c>
      <c r="V51" s="40"/>
      <c r="W51" s="35"/>
      <c r="X51" s="35"/>
      <c r="Y51" s="35"/>
      <c r="Z51" s="35"/>
      <c r="AA51" s="35"/>
      <c r="AB51" s="35"/>
      <c r="AC51" s="35"/>
      <c r="AD51" s="35"/>
      <c r="AE51" s="35"/>
      <c r="AF51" s="80"/>
      <c r="AG51" s="668">
        <f>SUM(AG49:AH50)</f>
        <v>16094.988132950515</v>
      </c>
      <c r="AH51" s="669"/>
      <c r="AT51" s="2">
        <v>29</v>
      </c>
      <c r="AU51" s="63" t="str">
        <f>'[1]Tabela de Preços'!E35</f>
        <v>ÔNIBUS - DEMAIS MODELOS - VOLKSQWAGEN</v>
      </c>
    </row>
    <row r="52" spans="1:47" ht="15">
      <c r="A52" s="362"/>
      <c r="B52" s="363"/>
      <c r="C52" s="366" t="s">
        <v>85</v>
      </c>
      <c r="D52" s="363"/>
      <c r="E52" s="363"/>
      <c r="F52" s="363"/>
      <c r="G52" s="363"/>
      <c r="H52" s="363"/>
      <c r="I52" s="363"/>
      <c r="J52" s="363"/>
      <c r="K52" s="363"/>
      <c r="L52" s="663">
        <f>SUM(J44:M51)</f>
        <v>0.22139999999999999</v>
      </c>
      <c r="M52" s="663"/>
      <c r="N52" s="664">
        <f>SUM(N44:P51)</f>
        <v>529.1526420000001</v>
      </c>
      <c r="O52" s="664"/>
      <c r="P52" s="665"/>
      <c r="Q52" s="507"/>
      <c r="R52" s="41"/>
      <c r="S52" s="35"/>
      <c r="T52" s="35"/>
      <c r="U52" s="40"/>
      <c r="V52" s="40"/>
      <c r="W52" s="35"/>
      <c r="X52" s="35"/>
      <c r="Y52" s="35"/>
      <c r="Z52" s="35"/>
      <c r="AA52" s="35"/>
      <c r="AB52" s="35"/>
      <c r="AC52" s="35"/>
      <c r="AD52" s="35"/>
      <c r="AE52" s="35"/>
      <c r="AF52" s="80"/>
      <c r="AG52" s="81"/>
      <c r="AH52" s="496"/>
      <c r="AT52" s="2">
        <v>30</v>
      </c>
      <c r="AU52" s="63" t="str">
        <f>'[1]Tabela de Preços'!E36</f>
        <v>ÔNIBUS - 15.180 (TODOS) - VOLKSQWAGEN</v>
      </c>
    </row>
    <row r="53" spans="1:47" ht="15.75" thickBot="1">
      <c r="A53" s="369"/>
      <c r="B53" s="370"/>
      <c r="C53" s="370"/>
      <c r="D53" s="370"/>
      <c r="E53" s="371"/>
      <c r="F53" s="370"/>
      <c r="G53" s="370"/>
      <c r="H53" s="370"/>
      <c r="I53" s="370"/>
      <c r="J53" s="370"/>
      <c r="K53" s="370"/>
      <c r="L53" s="372"/>
      <c r="M53" s="372"/>
      <c r="N53" s="373"/>
      <c r="O53" s="373"/>
      <c r="P53" s="374"/>
      <c r="Q53" s="476"/>
      <c r="R53" s="415"/>
      <c r="S53" s="412"/>
      <c r="T53" s="413" t="s">
        <v>87</v>
      </c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22"/>
      <c r="AG53" s="423"/>
      <c r="AH53" s="497"/>
      <c r="AT53" s="2">
        <v>31</v>
      </c>
      <c r="AU53" s="63" t="str">
        <f>'[1]Tabela de Preços'!E37</f>
        <v>ÔNIBUS - 15.190 (TODOS) - VOLKSQWAGEN</v>
      </c>
    </row>
    <row r="54" spans="1:47" ht="15.75" thickBot="1">
      <c r="A54" s="604" t="s">
        <v>86</v>
      </c>
      <c r="B54" s="605"/>
      <c r="C54" s="605"/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6"/>
      <c r="Q54" s="507"/>
      <c r="R54" s="41"/>
      <c r="S54" s="35"/>
      <c r="T54" s="74"/>
      <c r="U54" s="35" t="s">
        <v>89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71"/>
      <c r="AG54" s="81"/>
      <c r="AH54" s="495">
        <f>AG51</f>
        <v>16094.988132950515</v>
      </c>
      <c r="AT54" s="2">
        <v>32</v>
      </c>
      <c r="AU54" s="63" t="str">
        <f>'[1]Tabela de Preços'!E38</f>
        <v>ÔNIBUS - 17.230 (TODOS) - VOLKSQWAGEN</v>
      </c>
    </row>
    <row r="55" spans="1:47" ht="15">
      <c r="A55" s="375"/>
      <c r="B55" s="376"/>
      <c r="C55" s="603" t="s">
        <v>88</v>
      </c>
      <c r="D55" s="603"/>
      <c r="E55" s="603"/>
      <c r="F55" s="603"/>
      <c r="G55" s="363"/>
      <c r="H55" s="363"/>
      <c r="I55" s="376"/>
      <c r="J55" s="376"/>
      <c r="K55" s="377"/>
      <c r="L55" s="378"/>
      <c r="M55" s="378">
        <v>0.0042</v>
      </c>
      <c r="N55" s="607">
        <f>(N$30*M55)</f>
        <v>10.038126</v>
      </c>
      <c r="O55" s="607"/>
      <c r="P55" s="608"/>
      <c r="Q55" s="507"/>
      <c r="R55" s="41"/>
      <c r="S55" s="35"/>
      <c r="T55" s="35"/>
      <c r="U55" s="363" t="s">
        <v>91</v>
      </c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91">
        <f>IF(A31=1,0,'Memoria de Calculo'!O147)</f>
        <v>0.035</v>
      </c>
      <c r="AG55" s="392"/>
      <c r="AH55" s="393">
        <f>(AH54*AF55)</f>
        <v>563.3245846532681</v>
      </c>
      <c r="AT55" s="2">
        <v>33</v>
      </c>
      <c r="AU55" s="63" t="str">
        <f>'[1]Tabela de Preços'!E39</f>
        <v>ÔNIBUS - 8.150 (TODOS) - VOLKSQWAGEN</v>
      </c>
    </row>
    <row r="56" spans="1:47" ht="15">
      <c r="A56" s="362"/>
      <c r="B56" s="363"/>
      <c r="C56" s="593" t="s">
        <v>90</v>
      </c>
      <c r="D56" s="593"/>
      <c r="E56" s="593"/>
      <c r="F56" s="593"/>
      <c r="G56" s="363"/>
      <c r="H56" s="363"/>
      <c r="I56" s="363"/>
      <c r="J56" s="363"/>
      <c r="K56" s="379"/>
      <c r="L56" s="368"/>
      <c r="M56" s="368">
        <v>0.0001</v>
      </c>
      <c r="N56" s="609">
        <f>(N$30*M56)</f>
        <v>0.23900300000000002</v>
      </c>
      <c r="O56" s="609"/>
      <c r="P56" s="610"/>
      <c r="Q56" s="507"/>
      <c r="R56" s="41"/>
      <c r="S56" s="35"/>
      <c r="T56" s="35"/>
      <c r="U56" s="363" t="s">
        <v>93</v>
      </c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91">
        <f>IF(A31=1,0,'Memoria de Calculo'!O148)</f>
        <v>0.0065</v>
      </c>
      <c r="AG56" s="392"/>
      <c r="AH56" s="393">
        <f>(AH54*AF56)</f>
        <v>104.61742286417834</v>
      </c>
      <c r="AT56" s="2">
        <v>34</v>
      </c>
      <c r="AU56" s="63" t="str">
        <f>'[1]Tabela de Preços'!E40</f>
        <v>ÔNIBUS - 9.150 (TODOS) - VOLKSQWAGEN</v>
      </c>
    </row>
    <row r="57" spans="1:47" ht="15">
      <c r="A57" s="362"/>
      <c r="B57" s="363"/>
      <c r="C57" s="593" t="s">
        <v>256</v>
      </c>
      <c r="D57" s="593"/>
      <c r="E57" s="593"/>
      <c r="F57" s="593"/>
      <c r="G57" s="363"/>
      <c r="H57" s="363"/>
      <c r="I57" s="363"/>
      <c r="J57" s="363"/>
      <c r="K57" s="379"/>
      <c r="L57" s="368"/>
      <c r="M57" s="368">
        <v>0.032</v>
      </c>
      <c r="N57" s="609">
        <f>(N$30*M57)</f>
        <v>76.48096000000001</v>
      </c>
      <c r="O57" s="609"/>
      <c r="P57" s="610"/>
      <c r="Q57" s="507"/>
      <c r="R57" s="41"/>
      <c r="S57" s="35"/>
      <c r="T57" s="35"/>
      <c r="U57" s="363" t="s">
        <v>95</v>
      </c>
      <c r="V57" s="363"/>
      <c r="W57" s="363"/>
      <c r="X57" s="363"/>
      <c r="Y57" s="363"/>
      <c r="Z57" s="363"/>
      <c r="AA57" s="363"/>
      <c r="AB57" s="363"/>
      <c r="AC57" s="363"/>
      <c r="AD57" s="363"/>
      <c r="AE57" s="394"/>
      <c r="AF57" s="391">
        <f>IF(A31=1,0,'Memoria de Calculo'!O149)</f>
        <v>0.03</v>
      </c>
      <c r="AG57" s="395"/>
      <c r="AH57" s="393">
        <f>(AH54*AF57)</f>
        <v>482.8496439885154</v>
      </c>
      <c r="AI57" s="82"/>
      <c r="AJ57" s="82"/>
      <c r="AT57" s="2">
        <v>35</v>
      </c>
      <c r="AU57" s="63" t="str">
        <f>'[1]Tabela de Preços'!E41</f>
        <v>ÔNIBUS - OF-1418 (TODOS) - MERCEDES-BENZ</v>
      </c>
    </row>
    <row r="58" spans="1:47" ht="15">
      <c r="A58" s="362"/>
      <c r="B58" s="363"/>
      <c r="C58" s="593" t="s">
        <v>100</v>
      </c>
      <c r="D58" s="593"/>
      <c r="E58" s="593"/>
      <c r="F58" s="593"/>
      <c r="G58" s="363"/>
      <c r="H58" s="363"/>
      <c r="I58" s="363"/>
      <c r="J58" s="363"/>
      <c r="K58" s="379"/>
      <c r="L58" s="368"/>
      <c r="M58" s="368">
        <v>0.008</v>
      </c>
      <c r="N58" s="609">
        <f>(N$30*M58)</f>
        <v>19.120240000000003</v>
      </c>
      <c r="O58" s="609"/>
      <c r="P58" s="610"/>
      <c r="Q58" s="507"/>
      <c r="R58" s="41"/>
      <c r="S58" s="35"/>
      <c r="T58" s="35"/>
      <c r="U58" s="363" t="s">
        <v>97</v>
      </c>
      <c r="V58" s="363"/>
      <c r="W58" s="363"/>
      <c r="X58" s="363"/>
      <c r="Y58" s="363"/>
      <c r="Z58" s="363"/>
      <c r="AA58" s="363"/>
      <c r="AB58" s="363"/>
      <c r="AC58" s="363"/>
      <c r="AD58" s="363"/>
      <c r="AE58" s="394"/>
      <c r="AF58" s="391">
        <f>IF(A31=2,0,'Memoria de Calculo'!O150)</f>
        <v>0</v>
      </c>
      <c r="AG58" s="395"/>
      <c r="AH58" s="393">
        <f>(AH54*AF58)</f>
        <v>0</v>
      </c>
      <c r="AT58" s="2">
        <v>36</v>
      </c>
      <c r="AU58" s="63" t="str">
        <f>'[1]Tabela de Preços'!E42</f>
        <v>ÔNIBUS - VOLARE W9 (TODOS) - MERCEDES-BENZ</v>
      </c>
    </row>
    <row r="59" spans="1:47" ht="15.75" thickBot="1">
      <c r="A59" s="362"/>
      <c r="B59" s="363"/>
      <c r="C59" s="366" t="s">
        <v>101</v>
      </c>
      <c r="D59" s="363"/>
      <c r="E59" s="363"/>
      <c r="F59" s="363"/>
      <c r="G59" s="363"/>
      <c r="H59" s="363"/>
      <c r="I59" s="363"/>
      <c r="J59" s="363"/>
      <c r="K59" s="363"/>
      <c r="L59" s="663">
        <f>SUM(M55:M58)</f>
        <v>0.0443</v>
      </c>
      <c r="M59" s="663"/>
      <c r="N59" s="680">
        <f>SUM(N55:P58)</f>
        <v>105.87832900000001</v>
      </c>
      <c r="O59" s="680"/>
      <c r="P59" s="681"/>
      <c r="Q59" s="507"/>
      <c r="R59" s="430"/>
      <c r="S59" s="508"/>
      <c r="T59" s="508"/>
      <c r="U59" s="509" t="s">
        <v>99</v>
      </c>
      <c r="V59" s="509"/>
      <c r="W59" s="509"/>
      <c r="X59" s="508"/>
      <c r="Y59" s="508"/>
      <c r="Z59" s="508"/>
      <c r="AA59" s="508"/>
      <c r="AB59" s="508"/>
      <c r="AC59" s="508"/>
      <c r="AD59" s="431"/>
      <c r="AE59" s="432"/>
      <c r="AF59" s="433">
        <f>SUM(AF55:AF57)</f>
        <v>0.07150000000000001</v>
      </c>
      <c r="AG59" s="434"/>
      <c r="AH59" s="498">
        <f>SUM(AH55:AH58)</f>
        <v>1150.791651505962</v>
      </c>
      <c r="AT59" s="2">
        <v>37</v>
      </c>
      <c r="AU59" s="63" t="str">
        <f>'[1]Tabela de Preços'!E43</f>
        <v>ÔNIBUS - LO-812/814 (TODOS) - MERCEDES-BENZ</v>
      </c>
    </row>
    <row r="60" spans="1:47" ht="15.75" thickBot="1">
      <c r="A60" s="604" t="s">
        <v>257</v>
      </c>
      <c r="B60" s="605"/>
      <c r="C60" s="605"/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6"/>
      <c r="Q60" s="499"/>
      <c r="R60" s="435"/>
      <c r="S60" s="436"/>
      <c r="T60" s="436"/>
      <c r="U60" s="436"/>
      <c r="V60" s="437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500"/>
      <c r="AT60" s="2">
        <v>38</v>
      </c>
      <c r="AU60" s="63" t="str">
        <f>'[1]Tabela de Preços'!E44</f>
        <v>ÔNIBUS - G7 1200 - MERCEDES-BENZ</v>
      </c>
    </row>
    <row r="61" spans="1:47" ht="15.75" thickBot="1">
      <c r="A61" s="362"/>
      <c r="B61" s="363"/>
      <c r="C61" s="380" t="s">
        <v>258</v>
      </c>
      <c r="D61" s="363"/>
      <c r="E61" s="363"/>
      <c r="F61" s="363"/>
      <c r="G61" s="363"/>
      <c r="H61" s="363"/>
      <c r="I61" s="363"/>
      <c r="J61" s="363"/>
      <c r="K61" s="363"/>
      <c r="L61" s="510"/>
      <c r="M61" s="381">
        <v>0.088117</v>
      </c>
      <c r="N61" s="382"/>
      <c r="O61" s="685">
        <f>(N$30*M61)</f>
        <v>210.60227351000003</v>
      </c>
      <c r="P61" s="686"/>
      <c r="Q61" s="452"/>
      <c r="R61" s="453"/>
      <c r="S61" s="454"/>
      <c r="T61" s="511" t="s">
        <v>102</v>
      </c>
      <c r="U61" s="511"/>
      <c r="V61" s="511"/>
      <c r="W61" s="511"/>
      <c r="X61" s="511"/>
      <c r="Y61" s="511"/>
      <c r="Z61" s="511"/>
      <c r="AA61" s="511"/>
      <c r="AB61" s="511"/>
      <c r="AC61" s="454"/>
      <c r="AD61" s="454"/>
      <c r="AE61" s="454"/>
      <c r="AF61" s="454"/>
      <c r="AG61" s="455"/>
      <c r="AH61" s="456">
        <f>SUM(AH54,AH59)</f>
        <v>17245.779784456478</v>
      </c>
      <c r="AT61" s="2">
        <v>39</v>
      </c>
      <c r="AU61" s="63" t="str">
        <f>'[1]Tabela de Preços'!E45</f>
        <v>ÔNIBUS - LD - SCANIA</v>
      </c>
    </row>
    <row r="62" spans="1:47" ht="15.75" thickBot="1">
      <c r="A62" s="362"/>
      <c r="B62" s="363"/>
      <c r="C62" s="380" t="s">
        <v>259</v>
      </c>
      <c r="D62" s="363"/>
      <c r="E62" s="363"/>
      <c r="F62" s="363"/>
      <c r="G62" s="363"/>
      <c r="H62" s="363"/>
      <c r="I62" s="363"/>
      <c r="J62" s="363"/>
      <c r="K62" s="363"/>
      <c r="L62" s="510"/>
      <c r="M62" s="381">
        <v>0.000358</v>
      </c>
      <c r="N62" s="382"/>
      <c r="O62" s="682">
        <f>(N$30*M62)</f>
        <v>0.8556307400000001</v>
      </c>
      <c r="P62" s="683"/>
      <c r="Q62" s="457"/>
      <c r="R62" s="454"/>
      <c r="S62" s="679" t="s">
        <v>274</v>
      </c>
      <c r="T62" s="679"/>
      <c r="U62" s="679"/>
      <c r="V62" s="679"/>
      <c r="W62" s="679"/>
      <c r="X62" s="679"/>
      <c r="Y62" s="511"/>
      <c r="Z62" s="511"/>
      <c r="AA62" s="454"/>
      <c r="AB62" s="454"/>
      <c r="AC62" s="454"/>
      <c r="AD62" s="454"/>
      <c r="AE62" s="454"/>
      <c r="AF62" s="454"/>
      <c r="AG62" s="454"/>
      <c r="AH62" s="458">
        <f>AH61/AH38</f>
        <v>9.580988769142488</v>
      </c>
      <c r="AU62" s="63"/>
    </row>
    <row r="63" spans="1:47" ht="15">
      <c r="A63" s="467"/>
      <c r="B63" s="468"/>
      <c r="C63" s="366" t="s">
        <v>260</v>
      </c>
      <c r="D63" s="468"/>
      <c r="E63" s="468"/>
      <c r="F63" s="468"/>
      <c r="G63" s="468"/>
      <c r="H63" s="468"/>
      <c r="I63" s="468"/>
      <c r="J63" s="468"/>
      <c r="K63" s="468"/>
      <c r="L63" s="468"/>
      <c r="M63" s="469">
        <f>SUM(M61:M62)</f>
        <v>0.088475</v>
      </c>
      <c r="N63" s="470"/>
      <c r="O63" s="677">
        <f>SUM(O61:P62)</f>
        <v>211.45790425000004</v>
      </c>
      <c r="P63" s="678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83"/>
      <c r="AU63" s="63"/>
    </row>
    <row r="64" spans="1:47" ht="15">
      <c r="A64" s="467"/>
      <c r="B64" s="468"/>
      <c r="C64" s="380" t="s">
        <v>261</v>
      </c>
      <c r="D64" s="468"/>
      <c r="E64" s="468"/>
      <c r="F64" s="468"/>
      <c r="G64" s="468"/>
      <c r="H64" s="468"/>
      <c r="I64" s="468"/>
      <c r="J64" s="468"/>
      <c r="K64" s="468"/>
      <c r="L64" s="468"/>
      <c r="M64" s="471">
        <v>0.0003</v>
      </c>
      <c r="N64" s="468"/>
      <c r="O64" s="690">
        <f>(N$30*M64)</f>
        <v>0.717009</v>
      </c>
      <c r="P64" s="691"/>
      <c r="Q64" s="35"/>
      <c r="R64" s="35"/>
      <c r="S64" s="359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66"/>
      <c r="AU64" s="63"/>
    </row>
    <row r="65" spans="1:47" ht="15">
      <c r="A65" s="467"/>
      <c r="B65" s="468"/>
      <c r="C65" s="380" t="s">
        <v>262</v>
      </c>
      <c r="D65" s="468"/>
      <c r="E65" s="468"/>
      <c r="F65" s="468"/>
      <c r="G65" s="468"/>
      <c r="H65" s="468"/>
      <c r="I65" s="468"/>
      <c r="J65" s="468"/>
      <c r="K65" s="468"/>
      <c r="L65" s="468"/>
      <c r="M65" s="471">
        <v>0.0435</v>
      </c>
      <c r="N65" s="468"/>
      <c r="O65" s="690">
        <f>(N$30*M65)</f>
        <v>103.966305</v>
      </c>
      <c r="P65" s="691"/>
      <c r="Q65" s="35"/>
      <c r="R65" s="35"/>
      <c r="S65" s="46"/>
      <c r="T65" s="46"/>
      <c r="U65" s="593"/>
      <c r="V65" s="593"/>
      <c r="W65" s="593"/>
      <c r="X65" s="593"/>
      <c r="Y65" s="46"/>
      <c r="Z65" s="46"/>
      <c r="AA65" s="277"/>
      <c r="AB65" s="46"/>
      <c r="AC65" s="46"/>
      <c r="AD65" s="46"/>
      <c r="AE65" s="46"/>
      <c r="AF65" s="46"/>
      <c r="AG65" s="46"/>
      <c r="AH65" s="66"/>
      <c r="AU65" s="63"/>
    </row>
    <row r="66" spans="1:47" ht="15">
      <c r="A66" s="467"/>
      <c r="B66" s="468"/>
      <c r="C66" s="366"/>
      <c r="D66" s="468"/>
      <c r="E66" s="468"/>
      <c r="F66" s="468"/>
      <c r="G66" s="468"/>
      <c r="H66" s="468"/>
      <c r="I66" s="468"/>
      <c r="J66" s="468"/>
      <c r="K66" s="468"/>
      <c r="L66" s="468"/>
      <c r="M66" s="469">
        <f>SUM(M64:M65)</f>
        <v>0.0438</v>
      </c>
      <c r="N66" s="468"/>
      <c r="O66" s="677">
        <f>SUM(O64:P65)</f>
        <v>104.68331400000001</v>
      </c>
      <c r="P66" s="678"/>
      <c r="Q66" s="35"/>
      <c r="R66" s="35"/>
      <c r="S66" s="46"/>
      <c r="T66" s="46"/>
      <c r="U66" s="593"/>
      <c r="V66" s="593"/>
      <c r="W66" s="593"/>
      <c r="X66" s="593"/>
      <c r="Y66" s="46"/>
      <c r="Z66" s="46"/>
      <c r="AA66" s="281"/>
      <c r="AB66" s="46"/>
      <c r="AC66" s="46"/>
      <c r="AD66" s="46"/>
      <c r="AE66" s="46"/>
      <c r="AF66" s="46"/>
      <c r="AG66" s="46"/>
      <c r="AH66" s="66"/>
      <c r="AT66" s="34"/>
      <c r="AU66" s="63"/>
    </row>
    <row r="67" spans="1:47" ht="15.75" thickBot="1">
      <c r="A67" s="427"/>
      <c r="B67" s="438"/>
      <c r="C67" s="428" t="s">
        <v>103</v>
      </c>
      <c r="D67" s="438"/>
      <c r="E67" s="438"/>
      <c r="F67" s="438"/>
      <c r="G67" s="438"/>
      <c r="H67" s="438"/>
      <c r="I67" s="438"/>
      <c r="J67" s="438"/>
      <c r="K67" s="438"/>
      <c r="L67" s="663">
        <f>SUM(J41,L52,L59,M63,M66)</f>
        <v>0.7659750000000001</v>
      </c>
      <c r="M67" s="663"/>
      <c r="N67" s="581">
        <f>SUM(N41,N52,N59,O63,O66)</f>
        <v>1830.7032292500005</v>
      </c>
      <c r="O67" s="581"/>
      <c r="P67" s="582"/>
      <c r="Q67" s="35"/>
      <c r="R67" s="35"/>
      <c r="S67" s="46"/>
      <c r="T67" s="46"/>
      <c r="U67" s="593"/>
      <c r="V67" s="593"/>
      <c r="W67" s="593"/>
      <c r="X67" s="593"/>
      <c r="Y67" s="46"/>
      <c r="Z67" s="46"/>
      <c r="AA67" s="281"/>
      <c r="AB67" s="46"/>
      <c r="AC67" s="46"/>
      <c r="AD67" s="46"/>
      <c r="AE67" s="46"/>
      <c r="AF67" s="46"/>
      <c r="AG67" s="46"/>
      <c r="AH67" s="66"/>
      <c r="AT67" s="34"/>
      <c r="AU67" s="84"/>
    </row>
    <row r="68" spans="1:47" ht="15.75" thickBot="1">
      <c r="A68" s="674" t="s">
        <v>104</v>
      </c>
      <c r="B68" s="675"/>
      <c r="C68" s="675"/>
      <c r="D68" s="675"/>
      <c r="E68" s="675"/>
      <c r="F68" s="675"/>
      <c r="G68" s="675"/>
      <c r="H68" s="675"/>
      <c r="I68" s="675"/>
      <c r="J68" s="675"/>
      <c r="K68" s="675"/>
      <c r="L68" s="675"/>
      <c r="M68" s="675"/>
      <c r="N68" s="675"/>
      <c r="O68" s="675"/>
      <c r="P68" s="676"/>
      <c r="Q68" s="35"/>
      <c r="R68" s="35"/>
      <c r="S68" s="46"/>
      <c r="T68" s="46"/>
      <c r="U68" s="593"/>
      <c r="V68" s="593"/>
      <c r="W68" s="593"/>
      <c r="X68" s="593"/>
      <c r="Y68" s="46"/>
      <c r="Z68" s="46"/>
      <c r="AA68" s="281"/>
      <c r="AB68" s="46"/>
      <c r="AC68" s="46"/>
      <c r="AD68" s="46"/>
      <c r="AE68" s="46"/>
      <c r="AF68" s="46"/>
      <c r="AG68" s="46"/>
      <c r="AH68" s="66"/>
      <c r="AT68" s="34"/>
      <c r="AU68" s="84"/>
    </row>
    <row r="69" spans="1:47" ht="15">
      <c r="A69" s="384"/>
      <c r="B69" s="385"/>
      <c r="C69" s="595" t="s">
        <v>105</v>
      </c>
      <c r="D69" s="595"/>
      <c r="E69" s="595"/>
      <c r="F69" s="595"/>
      <c r="G69" s="595"/>
      <c r="H69" s="595"/>
      <c r="I69" s="385"/>
      <c r="J69" s="385"/>
      <c r="K69" s="386"/>
      <c r="L69" s="386"/>
      <c r="M69" s="386"/>
      <c r="N69" s="692">
        <f>(N17*0.01)/12</f>
        <v>125</v>
      </c>
      <c r="O69" s="692"/>
      <c r="P69" s="693"/>
      <c r="Q69" s="35"/>
      <c r="R69" s="35"/>
      <c r="S69" s="46"/>
      <c r="T69" s="46"/>
      <c r="U69" s="593"/>
      <c r="V69" s="593"/>
      <c r="W69" s="593"/>
      <c r="X69" s="593"/>
      <c r="Y69" s="46"/>
      <c r="Z69" s="46"/>
      <c r="AA69" s="281"/>
      <c r="AB69" s="46"/>
      <c r="AC69" s="46"/>
      <c r="AD69" s="46"/>
      <c r="AE69" s="46"/>
      <c r="AF69" s="46"/>
      <c r="AG69" s="46"/>
      <c r="AH69" s="66"/>
      <c r="AT69" s="34"/>
      <c r="AU69" s="34"/>
    </row>
    <row r="70" spans="1:34" ht="15.75" customHeight="1">
      <c r="A70" s="362"/>
      <c r="B70" s="363"/>
      <c r="C70" s="596" t="s">
        <v>106</v>
      </c>
      <c r="D70" s="596"/>
      <c r="E70" s="596"/>
      <c r="F70" s="596"/>
      <c r="G70" s="596"/>
      <c r="H70" s="596"/>
      <c r="I70" s="363"/>
      <c r="J70" s="363"/>
      <c r="K70" s="387"/>
      <c r="L70" s="387"/>
      <c r="M70" s="387"/>
      <c r="N70" s="599">
        <f>Valores!N19/12</f>
        <v>20.519166666666667</v>
      </c>
      <c r="O70" s="599"/>
      <c r="P70" s="600"/>
      <c r="Q70" s="35"/>
      <c r="R70" s="35"/>
      <c r="S70" s="46"/>
      <c r="T70" s="46"/>
      <c r="U70" s="594"/>
      <c r="V70" s="594"/>
      <c r="W70" s="594"/>
      <c r="X70" s="594"/>
      <c r="Y70" s="46"/>
      <c r="Z70" s="46"/>
      <c r="AA70" s="281"/>
      <c r="AB70" s="46"/>
      <c r="AC70" s="46"/>
      <c r="AD70" s="46"/>
      <c r="AE70" s="46"/>
      <c r="AF70" s="46"/>
      <c r="AG70" s="46"/>
      <c r="AH70" s="66"/>
    </row>
    <row r="71" spans="1:34" ht="15">
      <c r="A71" s="362"/>
      <c r="B71" s="363"/>
      <c r="C71" s="596" t="s">
        <v>107</v>
      </c>
      <c r="D71" s="596"/>
      <c r="E71" s="596"/>
      <c r="F71" s="596"/>
      <c r="G71" s="596"/>
      <c r="H71" s="596"/>
      <c r="I71" s="363"/>
      <c r="J71" s="363"/>
      <c r="K71" s="367"/>
      <c r="L71" s="367"/>
      <c r="M71" s="367"/>
      <c r="N71" s="599">
        <f>Valores!N17/12</f>
        <v>2.8049999999999997</v>
      </c>
      <c r="O71" s="599"/>
      <c r="P71" s="600"/>
      <c r="Q71" s="35"/>
      <c r="R71" s="35"/>
      <c r="S71" s="46"/>
      <c r="T71" s="46"/>
      <c r="U71" s="593"/>
      <c r="V71" s="593"/>
      <c r="W71" s="593"/>
      <c r="X71" s="593"/>
      <c r="Y71" s="46"/>
      <c r="Z71" s="46"/>
      <c r="AA71" s="281"/>
      <c r="AB71" s="46"/>
      <c r="AC71" s="46"/>
      <c r="AD71" s="46"/>
      <c r="AE71" s="46"/>
      <c r="AF71" s="46"/>
      <c r="AG71" s="46"/>
      <c r="AH71" s="66"/>
    </row>
    <row r="72" spans="1:34" ht="15">
      <c r="A72" s="362"/>
      <c r="B72" s="363"/>
      <c r="C72" s="380" t="s">
        <v>263</v>
      </c>
      <c r="D72" s="380"/>
      <c r="E72" s="380"/>
      <c r="F72" s="380"/>
      <c r="G72" s="380"/>
      <c r="H72" s="380"/>
      <c r="I72" s="363"/>
      <c r="J72" s="363"/>
      <c r="K72" s="387"/>
      <c r="L72" s="387"/>
      <c r="M72" s="387"/>
      <c r="N72" s="601">
        <f>Valores!N18/12</f>
        <v>38.05583333333333</v>
      </c>
      <c r="O72" s="601"/>
      <c r="P72" s="602"/>
      <c r="Q72" s="35"/>
      <c r="R72" s="35"/>
      <c r="S72" s="46"/>
      <c r="T72" s="46"/>
      <c r="U72" s="593"/>
      <c r="V72" s="593"/>
      <c r="W72" s="593"/>
      <c r="X72" s="593"/>
      <c r="Y72" s="46"/>
      <c r="Z72" s="46"/>
      <c r="AA72" s="277"/>
      <c r="AB72" s="46"/>
      <c r="AC72" s="46"/>
      <c r="AD72" s="46"/>
      <c r="AE72" s="46"/>
      <c r="AF72" s="46"/>
      <c r="AG72" s="46"/>
      <c r="AH72" s="66"/>
    </row>
    <row r="73" spans="1:34" ht="15.75" thickBot="1">
      <c r="A73" s="427"/>
      <c r="B73" s="438"/>
      <c r="C73" s="597" t="s">
        <v>109</v>
      </c>
      <c r="D73" s="597"/>
      <c r="E73" s="597"/>
      <c r="F73" s="597"/>
      <c r="G73" s="597"/>
      <c r="H73" s="597"/>
      <c r="I73" s="438"/>
      <c r="J73" s="438"/>
      <c r="K73" s="429"/>
      <c r="L73" s="429"/>
      <c r="M73" s="429"/>
      <c r="N73" s="581">
        <f>SUM(N69:P72)</f>
        <v>186.38000000000002</v>
      </c>
      <c r="O73" s="581"/>
      <c r="P73" s="582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ht="15.75" thickBot="1">
      <c r="A74" s="399"/>
      <c r="B74" s="598" t="s">
        <v>110</v>
      </c>
      <c r="C74" s="598"/>
      <c r="D74" s="598"/>
      <c r="E74" s="598"/>
      <c r="F74" s="598"/>
      <c r="G74" s="400"/>
      <c r="H74" s="400"/>
      <c r="I74" s="401"/>
      <c r="J74" s="401"/>
      <c r="K74" s="402"/>
      <c r="L74" s="402"/>
      <c r="M74" s="402"/>
      <c r="N74" s="403"/>
      <c r="O74" s="403"/>
      <c r="P74" s="404"/>
      <c r="Q74" s="35"/>
      <c r="R74" s="35"/>
      <c r="S74" s="360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ht="15">
      <c r="A75" s="362"/>
      <c r="B75" s="363"/>
      <c r="C75" s="687" t="s">
        <v>110</v>
      </c>
      <c r="D75" s="687"/>
      <c r="E75" s="687"/>
      <c r="F75" s="687"/>
      <c r="G75" s="363"/>
      <c r="H75" s="363"/>
      <c r="I75" s="363"/>
      <c r="J75" s="363"/>
      <c r="K75" s="387"/>
      <c r="L75" s="387"/>
      <c r="M75" s="387"/>
      <c r="N75" s="587">
        <f>VLOOKUP(D6,Parametro!A:L,8,0)/12</f>
        <v>246.07500000000002</v>
      </c>
      <c r="O75" s="587"/>
      <c r="P75" s="588"/>
      <c r="Q75" s="35"/>
      <c r="R75" s="35"/>
      <c r="S75" s="360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ht="15.75" thickBot="1">
      <c r="A76" s="427"/>
      <c r="B76" s="438"/>
      <c r="C76" s="506" t="s">
        <v>15</v>
      </c>
      <c r="D76" s="438"/>
      <c r="E76" s="438"/>
      <c r="F76" s="438"/>
      <c r="G76" s="438"/>
      <c r="H76" s="438"/>
      <c r="I76" s="438"/>
      <c r="J76" s="438"/>
      <c r="K76" s="429"/>
      <c r="L76" s="429"/>
      <c r="M76" s="429"/>
      <c r="N76" s="581">
        <f>SUM(N75:P75)</f>
        <v>246.07500000000002</v>
      </c>
      <c r="O76" s="581"/>
      <c r="P76" s="582"/>
      <c r="Q76" s="35"/>
      <c r="R76" s="35"/>
      <c r="S76" s="360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ht="15.75" thickBot="1">
      <c r="A77" s="533" t="s">
        <v>288</v>
      </c>
      <c r="B77" s="401"/>
      <c r="C77" s="534"/>
      <c r="D77" s="401"/>
      <c r="E77" s="401"/>
      <c r="F77" s="401"/>
      <c r="G77" s="535"/>
      <c r="H77" s="535"/>
      <c r="I77" s="401"/>
      <c r="J77" s="401"/>
      <c r="K77" s="401"/>
      <c r="L77" s="536"/>
      <c r="M77" s="536"/>
      <c r="N77" s="591"/>
      <c r="O77" s="591"/>
      <c r="P77" s="592"/>
      <c r="Q77" s="35"/>
      <c r="R77" s="35"/>
      <c r="S77" s="360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ht="15">
      <c r="A78" s="521" t="s">
        <v>289</v>
      </c>
      <c r="B78" s="520"/>
      <c r="C78" s="366"/>
      <c r="D78" s="520"/>
      <c r="E78" s="520"/>
      <c r="F78" s="363"/>
      <c r="G78" s="522"/>
      <c r="H78" s="523" t="s">
        <v>42</v>
      </c>
      <c r="I78" s="363"/>
      <c r="J78" s="363"/>
      <c r="K78" s="363"/>
      <c r="L78" s="519"/>
      <c r="M78" s="519"/>
      <c r="N78" s="688" t="s">
        <v>44</v>
      </c>
      <c r="O78" s="688"/>
      <c r="P78" s="689"/>
      <c r="Q78" s="35"/>
      <c r="R78" s="35"/>
      <c r="S78" s="360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ht="15">
      <c r="A79" s="362"/>
      <c r="B79" s="586">
        <v>27</v>
      </c>
      <c r="C79" s="586"/>
      <c r="D79" s="363"/>
      <c r="E79" s="363"/>
      <c r="F79" s="363"/>
      <c r="G79" s="522"/>
      <c r="H79" s="525">
        <v>60</v>
      </c>
      <c r="I79" s="363"/>
      <c r="J79" s="363"/>
      <c r="K79" s="363"/>
      <c r="L79" s="519"/>
      <c r="M79" s="519"/>
      <c r="N79" s="587">
        <f>(H79*B79)</f>
        <v>1620</v>
      </c>
      <c r="O79" s="587"/>
      <c r="P79" s="588"/>
      <c r="Q79" s="35"/>
      <c r="R79" s="35"/>
      <c r="S79" s="360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 spans="1:34" ht="15">
      <c r="A80" s="526" t="s">
        <v>290</v>
      </c>
      <c r="B80" s="524"/>
      <c r="C80" s="524"/>
      <c r="D80" s="363"/>
      <c r="E80" s="363"/>
      <c r="F80" s="363"/>
      <c r="G80" s="522"/>
      <c r="H80" s="527">
        <v>0</v>
      </c>
      <c r="I80" s="363"/>
      <c r="J80" s="363"/>
      <c r="K80" s="363"/>
      <c r="L80" s="519"/>
      <c r="M80" s="519"/>
      <c r="N80" s="587">
        <f>(H80*N79)</f>
        <v>0</v>
      </c>
      <c r="O80" s="587"/>
      <c r="P80" s="588"/>
      <c r="Q80" s="35"/>
      <c r="R80" s="35"/>
      <c r="S80" s="360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ht="15">
      <c r="A81" s="540"/>
      <c r="B81" s="541"/>
      <c r="C81" s="542" t="s">
        <v>291</v>
      </c>
      <c r="D81" s="543"/>
      <c r="E81" s="543"/>
      <c r="F81" s="543"/>
      <c r="G81" s="544"/>
      <c r="H81" s="545"/>
      <c r="I81" s="543"/>
      <c r="J81" s="543"/>
      <c r="K81" s="543"/>
      <c r="L81" s="546"/>
      <c r="M81" s="546"/>
      <c r="N81" s="589">
        <f>(N79-N80)</f>
        <v>1620</v>
      </c>
      <c r="O81" s="589"/>
      <c r="P81" s="590"/>
      <c r="Q81" s="35"/>
      <c r="R81" s="35"/>
      <c r="S81" s="360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ht="15.75" thickBot="1">
      <c r="A82" s="427"/>
      <c r="B82" s="438"/>
      <c r="C82" s="428"/>
      <c r="D82" s="438"/>
      <c r="E82" s="438"/>
      <c r="F82" s="438"/>
      <c r="G82" s="528"/>
      <c r="H82" s="529"/>
      <c r="I82" s="438"/>
      <c r="J82" s="438"/>
      <c r="K82" s="438"/>
      <c r="L82" s="510"/>
      <c r="M82" s="510"/>
      <c r="N82" s="581"/>
      <c r="O82" s="581"/>
      <c r="P82" s="582"/>
      <c r="Q82" s="35"/>
      <c r="R82" s="35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ht="15.75" thickBot="1">
      <c r="A83" s="533" t="s">
        <v>292</v>
      </c>
      <c r="B83" s="401"/>
      <c r="C83" s="534"/>
      <c r="D83" s="401"/>
      <c r="E83" s="401"/>
      <c r="F83" s="401"/>
      <c r="G83" s="535"/>
      <c r="H83" s="535"/>
      <c r="I83" s="401"/>
      <c r="J83" s="401"/>
      <c r="K83" s="401"/>
      <c r="L83" s="536"/>
      <c r="M83" s="536"/>
      <c r="N83" s="591"/>
      <c r="O83" s="591"/>
      <c r="P83" s="592"/>
      <c r="Q83" s="35"/>
      <c r="R83" s="35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ht="15">
      <c r="A84" s="362"/>
      <c r="B84" s="363"/>
      <c r="C84" s="366"/>
      <c r="D84" s="363"/>
      <c r="E84" s="363"/>
      <c r="F84" s="363"/>
      <c r="G84" s="522"/>
      <c r="H84" s="529"/>
      <c r="I84" s="363"/>
      <c r="J84" s="363"/>
      <c r="K84" s="363"/>
      <c r="L84" s="519"/>
      <c r="M84" s="519"/>
      <c r="N84" s="530"/>
      <c r="O84" s="530"/>
      <c r="P84" s="518"/>
      <c r="Q84" s="35"/>
      <c r="R84" s="35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ht="15">
      <c r="A85" s="362"/>
      <c r="B85" s="363"/>
      <c r="C85" s="380" t="s">
        <v>293</v>
      </c>
      <c r="D85" s="363"/>
      <c r="E85" s="363"/>
      <c r="F85" s="363"/>
      <c r="G85" s="522"/>
      <c r="H85" s="529"/>
      <c r="I85" s="363"/>
      <c r="J85" s="363"/>
      <c r="K85" s="363"/>
      <c r="L85" s="519"/>
      <c r="M85" s="519"/>
      <c r="N85" s="581">
        <f>Valores!W16</f>
        <v>102.09833333333333</v>
      </c>
      <c r="O85" s="581"/>
      <c r="P85" s="582"/>
      <c r="Q85" s="35"/>
      <c r="R85" s="35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ht="15.75" thickBot="1">
      <c r="A86" s="369"/>
      <c r="B86" s="370"/>
      <c r="C86" s="370"/>
      <c r="D86" s="370"/>
      <c r="E86" s="371"/>
      <c r="F86" s="370"/>
      <c r="G86" s="370"/>
      <c r="H86" s="370"/>
      <c r="I86" s="370"/>
      <c r="J86" s="370"/>
      <c r="K86" s="370"/>
      <c r="L86" s="372"/>
      <c r="M86" s="372"/>
      <c r="N86" s="531"/>
      <c r="O86" s="531"/>
      <c r="P86" s="532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ht="15.75" thickBot="1">
      <c r="A87" s="405"/>
      <c r="B87" s="406" t="s">
        <v>264</v>
      </c>
      <c r="C87" s="407"/>
      <c r="D87" s="408"/>
      <c r="E87" s="408"/>
      <c r="F87" s="408"/>
      <c r="G87" s="408"/>
      <c r="H87" s="408"/>
      <c r="I87" s="408"/>
      <c r="J87" s="408"/>
      <c r="K87" s="409"/>
      <c r="L87" s="409"/>
      <c r="M87" s="409"/>
      <c r="N87" s="410"/>
      <c r="O87" s="410"/>
      <c r="P87" s="411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15.75" thickBot="1">
      <c r="A88" s="537"/>
      <c r="B88" s="538" t="s">
        <v>111</v>
      </c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83">
        <f>SUM(N21,N25,N30,N67,N73,N76,N81,N85)</f>
        <v>6600.286562583334</v>
      </c>
      <c r="O88" s="584"/>
      <c r="P88" s="58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ht="15">
      <c r="A89" s="383"/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</row>
    <row r="90" spans="1:34" ht="15">
      <c r="A90" s="383"/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</row>
    <row r="91" spans="1:34" ht="1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</row>
    <row r="92" spans="1:34" ht="15">
      <c r="A92" s="383"/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</row>
    <row r="93" spans="1:34" ht="15">
      <c r="A93" s="383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</row>
    <row r="94" spans="1:34" ht="15">
      <c r="A94" s="383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</row>
    <row r="95" spans="1:34" ht="15">
      <c r="A95" s="383"/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</row>
    <row r="96" spans="1:34" ht="15">
      <c r="A96" s="383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</row>
    <row r="97" spans="1:34" ht="15">
      <c r="A97" s="383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</row>
    <row r="98" spans="1:34" ht="15">
      <c r="A98" s="383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</row>
    <row r="99" spans="1:34" ht="15">
      <c r="A99" s="383"/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</row>
    <row r="100" spans="1:34" ht="15">
      <c r="A100" s="383"/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</row>
    <row r="101" spans="1:34" ht="1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</row>
    <row r="102" spans="1:16" ht="15">
      <c r="A102" s="38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</row>
    <row r="103" spans="1:16" ht="15">
      <c r="A103" s="383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</row>
  </sheetData>
  <sheetProtection password="CAEE" sheet="1" objects="1" scenarios="1" selectLockedCells="1" selectUnlockedCells="1"/>
  <mergeCells count="160">
    <mergeCell ref="N78:P78"/>
    <mergeCell ref="O64:P64"/>
    <mergeCell ref="O65:P65"/>
    <mergeCell ref="N67:P67"/>
    <mergeCell ref="N69:P69"/>
    <mergeCell ref="N70:P70"/>
    <mergeCell ref="N77:P77"/>
    <mergeCell ref="U33:V33"/>
    <mergeCell ref="U17:V17"/>
    <mergeCell ref="N75:P75"/>
    <mergeCell ref="N76:P76"/>
    <mergeCell ref="C58:F58"/>
    <mergeCell ref="L59:M59"/>
    <mergeCell ref="A60:P60"/>
    <mergeCell ref="O61:P61"/>
    <mergeCell ref="C75:F75"/>
    <mergeCell ref="L67:M67"/>
    <mergeCell ref="L52:M52"/>
    <mergeCell ref="N52:P52"/>
    <mergeCell ref="AG51:AH51"/>
    <mergeCell ref="A68:P68"/>
    <mergeCell ref="O66:P66"/>
    <mergeCell ref="N58:P58"/>
    <mergeCell ref="S62:X62"/>
    <mergeCell ref="N59:P59"/>
    <mergeCell ref="O62:P62"/>
    <mergeCell ref="O63:P63"/>
    <mergeCell ref="J50:M50"/>
    <mergeCell ref="N50:P50"/>
    <mergeCell ref="J51:M51"/>
    <mergeCell ref="N51:P51"/>
    <mergeCell ref="AG49:AH49"/>
    <mergeCell ref="AG50:AH50"/>
    <mergeCell ref="N47:P47"/>
    <mergeCell ref="AG45:AH45"/>
    <mergeCell ref="J48:M48"/>
    <mergeCell ref="N48:P48"/>
    <mergeCell ref="AG46:AH46"/>
    <mergeCell ref="J49:M49"/>
    <mergeCell ref="N49:P49"/>
    <mergeCell ref="AF41:AG41"/>
    <mergeCell ref="J44:M44"/>
    <mergeCell ref="N44:P44"/>
    <mergeCell ref="AF42:AG42"/>
    <mergeCell ref="J45:M45"/>
    <mergeCell ref="N45:P45"/>
    <mergeCell ref="AG44:AH44"/>
    <mergeCell ref="N38:P38"/>
    <mergeCell ref="N39:P39"/>
    <mergeCell ref="N40:P40"/>
    <mergeCell ref="J41:M41"/>
    <mergeCell ref="N41:P41"/>
    <mergeCell ref="N42:P42"/>
    <mergeCell ref="N33:P33"/>
    <mergeCell ref="N34:P34"/>
    <mergeCell ref="N35:P35"/>
    <mergeCell ref="N36:P36"/>
    <mergeCell ref="N37:P37"/>
    <mergeCell ref="D29:E29"/>
    <mergeCell ref="F29:G29"/>
    <mergeCell ref="N29:P29"/>
    <mergeCell ref="N30:P30"/>
    <mergeCell ref="A31:P31"/>
    <mergeCell ref="A32:P32"/>
    <mergeCell ref="N26:P26"/>
    <mergeCell ref="H27:I27"/>
    <mergeCell ref="J27:M27"/>
    <mergeCell ref="N27:P27"/>
    <mergeCell ref="D28:E28"/>
    <mergeCell ref="F28:G28"/>
    <mergeCell ref="N28:P28"/>
    <mergeCell ref="C24:E24"/>
    <mergeCell ref="F24:H24"/>
    <mergeCell ref="I24:M24"/>
    <mergeCell ref="N24:P24"/>
    <mergeCell ref="C25:E25"/>
    <mergeCell ref="F25:H25"/>
    <mergeCell ref="J25:M25"/>
    <mergeCell ref="N25:P25"/>
    <mergeCell ref="C21:E21"/>
    <mergeCell ref="F21:H21"/>
    <mergeCell ref="J21:M21"/>
    <mergeCell ref="N21:P21"/>
    <mergeCell ref="N22:P22"/>
    <mergeCell ref="N23:P23"/>
    <mergeCell ref="N17:P17"/>
    <mergeCell ref="N18:P18"/>
    <mergeCell ref="C20:E20"/>
    <mergeCell ref="F20:H20"/>
    <mergeCell ref="I20:M20"/>
    <mergeCell ref="N20:P20"/>
    <mergeCell ref="A13:G13"/>
    <mergeCell ref="H13:K13"/>
    <mergeCell ref="U13:V13"/>
    <mergeCell ref="A14:G14"/>
    <mergeCell ref="H14:K14"/>
    <mergeCell ref="A16:P16"/>
    <mergeCell ref="A10:P10"/>
    <mergeCell ref="Q10:AH10"/>
    <mergeCell ref="A11:G11"/>
    <mergeCell ref="H11:K11"/>
    <mergeCell ref="A12:G12"/>
    <mergeCell ref="C8:M8"/>
    <mergeCell ref="A1:AH3"/>
    <mergeCell ref="A4:AH4"/>
    <mergeCell ref="A6:B6"/>
    <mergeCell ref="W6:X6"/>
    <mergeCell ref="AF6:AH6"/>
    <mergeCell ref="A8:B8"/>
    <mergeCell ref="AF8:AH8"/>
    <mergeCell ref="C33:F33"/>
    <mergeCell ref="C34:F34"/>
    <mergeCell ref="C35:F35"/>
    <mergeCell ref="C36:F36"/>
    <mergeCell ref="C37:F37"/>
    <mergeCell ref="C38:F38"/>
    <mergeCell ref="C39:F39"/>
    <mergeCell ref="C40:F40"/>
    <mergeCell ref="C44:F44"/>
    <mergeCell ref="C45:F45"/>
    <mergeCell ref="C46:F46"/>
    <mergeCell ref="C47:F47"/>
    <mergeCell ref="A43:P43"/>
    <mergeCell ref="J46:M46"/>
    <mergeCell ref="N46:P46"/>
    <mergeCell ref="J47:M47"/>
    <mergeCell ref="C48:F48"/>
    <mergeCell ref="C49:F49"/>
    <mergeCell ref="C51:F51"/>
    <mergeCell ref="C55:F55"/>
    <mergeCell ref="C56:F56"/>
    <mergeCell ref="C57:F57"/>
    <mergeCell ref="A54:P54"/>
    <mergeCell ref="N55:P55"/>
    <mergeCell ref="N56:P56"/>
    <mergeCell ref="N57:P57"/>
    <mergeCell ref="C69:H69"/>
    <mergeCell ref="C70:H70"/>
    <mergeCell ref="C71:H71"/>
    <mergeCell ref="C73:H73"/>
    <mergeCell ref="B74:F74"/>
    <mergeCell ref="N71:P71"/>
    <mergeCell ref="N72:P72"/>
    <mergeCell ref="N73:P73"/>
    <mergeCell ref="U71:X71"/>
    <mergeCell ref="U72:X72"/>
    <mergeCell ref="U65:X65"/>
    <mergeCell ref="U66:X66"/>
    <mergeCell ref="U67:X67"/>
    <mergeCell ref="U68:X68"/>
    <mergeCell ref="U69:X69"/>
    <mergeCell ref="U70:X70"/>
    <mergeCell ref="N85:P85"/>
    <mergeCell ref="N88:P88"/>
    <mergeCell ref="B79:C79"/>
    <mergeCell ref="N79:P79"/>
    <mergeCell ref="N80:P80"/>
    <mergeCell ref="N81:P81"/>
    <mergeCell ref="N82:P82"/>
    <mergeCell ref="N83:P83"/>
  </mergeCells>
  <printOptions/>
  <pageMargins left="0.5118055555555555" right="0.5118055555555555" top="0.7875" bottom="0.7875" header="0.5118055555555555" footer="0.511805555555555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tabColor indexed="22"/>
  </sheetPr>
  <dimension ref="B1:AI41"/>
  <sheetViews>
    <sheetView showGridLines="0" zoomScalePageLayoutView="0" workbookViewId="0" topLeftCell="A1">
      <selection activeCell="U23" sqref="U23"/>
    </sheetView>
  </sheetViews>
  <sheetFormatPr defaultColWidth="9.140625" defaultRowHeight="15"/>
  <cols>
    <col min="1" max="1" width="0.5625" style="86" customWidth="1"/>
    <col min="2" max="3" width="9.140625" style="87" customWidth="1"/>
    <col min="4" max="4" width="6.28125" style="87" customWidth="1"/>
    <col min="5" max="5" width="4.7109375" style="87" customWidth="1"/>
    <col min="6" max="6" width="12.7109375" style="86" customWidth="1"/>
    <col min="7" max="7" width="3.28125" style="86" customWidth="1"/>
    <col min="8" max="8" width="3.421875" style="86" customWidth="1"/>
    <col min="9" max="9" width="4.00390625" style="86" customWidth="1"/>
    <col min="10" max="10" width="5.57421875" style="86" customWidth="1"/>
    <col min="11" max="11" width="2.421875" style="86" customWidth="1"/>
    <col min="12" max="12" width="3.7109375" style="86" customWidth="1"/>
    <col min="13" max="13" width="12.421875" style="86" customWidth="1"/>
    <col min="14" max="14" width="4.140625" style="86" customWidth="1"/>
    <col min="15" max="15" width="6.00390625" style="86" customWidth="1"/>
    <col min="16" max="16" width="5.421875" style="86" customWidth="1"/>
    <col min="17" max="17" width="6.421875" style="86" customWidth="1"/>
    <col min="18" max="18" width="8.7109375" style="86" customWidth="1"/>
    <col min="19" max="19" width="8.421875" style="86" customWidth="1"/>
    <col min="20" max="20" width="15.140625" style="86" customWidth="1"/>
    <col min="21" max="21" width="16.57421875" style="86" customWidth="1"/>
    <col min="22" max="22" width="9.8515625" style="86" customWidth="1"/>
    <col min="23" max="23" width="9.421875" style="86" customWidth="1"/>
    <col min="24" max="24" width="4.8515625" style="86" customWidth="1"/>
    <col min="25" max="26" width="5.28125" style="86" customWidth="1"/>
    <col min="27" max="16384" width="9.140625" style="86" customWidth="1"/>
  </cols>
  <sheetData>
    <row r="1" spans="2:35" ht="17.25" customHeight="1" thickBot="1">
      <c r="B1" s="88"/>
      <c r="C1" s="89"/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3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91"/>
    </row>
    <row r="2" spans="2:35" ht="15" customHeight="1">
      <c r="B2" s="92"/>
      <c r="C2" s="93" t="s">
        <v>112</v>
      </c>
      <c r="D2" s="93"/>
      <c r="E2" s="93"/>
      <c r="F2" s="93"/>
      <c r="G2" s="93"/>
      <c r="H2" s="93"/>
      <c r="I2" s="90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4"/>
    </row>
    <row r="3" spans="2:35" ht="1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4"/>
    </row>
    <row r="4" spans="2:35" ht="15.75" customHeight="1" thickBot="1">
      <c r="B4" s="95"/>
      <c r="C4" s="96"/>
      <c r="D4" s="96"/>
      <c r="E4" s="96"/>
      <c r="F4" s="96"/>
      <c r="G4" s="96" t="s">
        <v>113</v>
      </c>
      <c r="H4" s="96"/>
      <c r="I4" s="96"/>
      <c r="J4" s="96"/>
      <c r="K4" s="96"/>
      <c r="L4" s="96"/>
      <c r="M4" s="96"/>
      <c r="N4" s="93"/>
      <c r="O4" s="96"/>
      <c r="P4" s="96"/>
      <c r="Q4" s="96"/>
      <c r="R4" s="93"/>
      <c r="S4" s="93"/>
      <c r="T4" s="93"/>
      <c r="U4" s="93"/>
      <c r="V4" s="93"/>
      <c r="W4" s="93"/>
      <c r="X4" s="93"/>
      <c r="Y4" s="93"/>
      <c r="Z4" s="96"/>
      <c r="AA4" s="96"/>
      <c r="AB4" s="96"/>
      <c r="AC4" s="96"/>
      <c r="AD4" s="96"/>
      <c r="AE4" s="96"/>
      <c r="AF4" s="96"/>
      <c r="AG4" s="96"/>
      <c r="AH4" s="96"/>
      <c r="AI4" s="97"/>
    </row>
    <row r="5" spans="2:26" ht="15" customHeight="1">
      <c r="B5" s="707" t="s">
        <v>114</v>
      </c>
      <c r="C5" s="707"/>
      <c r="D5" s="707"/>
      <c r="E5" s="708" t="s">
        <v>115</v>
      </c>
      <c r="F5" s="98" t="s">
        <v>116</v>
      </c>
      <c r="G5" s="99"/>
      <c r="H5" s="100" t="s">
        <v>117</v>
      </c>
      <c r="I5" s="101"/>
      <c r="J5" s="102"/>
      <c r="K5" s="102"/>
      <c r="L5" s="102"/>
      <c r="M5" s="102"/>
      <c r="N5" s="102"/>
      <c r="O5" s="102"/>
      <c r="P5" s="103"/>
      <c r="Q5" s="104"/>
      <c r="R5" s="694" t="s">
        <v>118</v>
      </c>
      <c r="S5" s="694"/>
      <c r="T5" s="694"/>
      <c r="U5" s="694"/>
      <c r="V5" s="702"/>
      <c r="W5" s="702"/>
      <c r="X5" s="448"/>
      <c r="Y5" s="448"/>
      <c r="Z5" s="448"/>
    </row>
    <row r="6" spans="2:25" ht="15" customHeight="1">
      <c r="B6" s="707"/>
      <c r="C6" s="707"/>
      <c r="D6" s="707"/>
      <c r="E6" s="708"/>
      <c r="F6" s="105" t="str">
        <f>IF('Custos '!C8=1,"MICRO","ÔNIBUS")</f>
        <v>ÔNIBUS</v>
      </c>
      <c r="G6" s="99"/>
      <c r="H6" s="106" t="s">
        <v>119</v>
      </c>
      <c r="I6" s="107"/>
      <c r="J6" s="108"/>
      <c r="K6" s="108"/>
      <c r="L6" s="108"/>
      <c r="M6" s="108"/>
      <c r="N6" s="108"/>
      <c r="O6" s="108"/>
      <c r="P6" s="109"/>
      <c r="Q6" s="104"/>
      <c r="R6" s="449" t="s">
        <v>120</v>
      </c>
      <c r="S6" s="449" t="s">
        <v>121</v>
      </c>
      <c r="T6" s="449" t="s">
        <v>122</v>
      </c>
      <c r="U6" s="449" t="s">
        <v>123</v>
      </c>
      <c r="V6" s="702"/>
      <c r="W6" s="702"/>
      <c r="X6" s="108"/>
      <c r="Y6" s="158"/>
    </row>
    <row r="7" spans="2:25" ht="15" customHeight="1">
      <c r="B7" s="709" t="s">
        <v>124</v>
      </c>
      <c r="C7" s="709"/>
      <c r="D7" s="709"/>
      <c r="E7" s="110"/>
      <c r="F7" s="111" t="s">
        <v>125</v>
      </c>
      <c r="G7" s="112"/>
      <c r="H7" s="106"/>
      <c r="I7" s="113" t="s">
        <v>126</v>
      </c>
      <c r="J7" s="108"/>
      <c r="K7" s="108"/>
      <c r="L7" s="108"/>
      <c r="M7" s="108"/>
      <c r="N7" s="703">
        <v>6.3</v>
      </c>
      <c r="O7" s="703"/>
      <c r="P7" s="703"/>
      <c r="Q7" s="104"/>
      <c r="R7" s="348">
        <v>1</v>
      </c>
      <c r="S7" s="347" t="s">
        <v>128</v>
      </c>
      <c r="T7" s="450">
        <v>33</v>
      </c>
      <c r="U7" s="349">
        <f>(65.62*T7)</f>
        <v>2165.46</v>
      </c>
      <c r="V7" s="702"/>
      <c r="W7" s="702"/>
      <c r="X7" s="108"/>
      <c r="Y7" s="158"/>
    </row>
    <row r="8" spans="2:25" ht="15" customHeight="1">
      <c r="B8" s="704" t="s">
        <v>127</v>
      </c>
      <c r="C8" s="704"/>
      <c r="D8" s="704"/>
      <c r="E8" s="114"/>
      <c r="F8" s="115">
        <f>'Custos '!M8</f>
        <v>0</v>
      </c>
      <c r="G8" s="112"/>
      <c r="H8" s="106"/>
      <c r="I8" s="107"/>
      <c r="J8" s="108"/>
      <c r="K8" s="108"/>
      <c r="L8" s="108"/>
      <c r="M8" s="108"/>
      <c r="N8" s="113"/>
      <c r="O8" s="113"/>
      <c r="P8" s="116"/>
      <c r="Q8" s="104"/>
      <c r="R8" s="347">
        <v>3</v>
      </c>
      <c r="S8" s="347" t="s">
        <v>128</v>
      </c>
      <c r="T8" s="450">
        <v>33</v>
      </c>
      <c r="U8" s="349">
        <f>(65.62*T8)</f>
        <v>2165.46</v>
      </c>
      <c r="V8" s="702"/>
      <c r="W8" s="702"/>
      <c r="X8" s="108"/>
      <c r="Y8" s="158"/>
    </row>
    <row r="9" spans="2:25" ht="15" customHeight="1">
      <c r="B9" s="704" t="s">
        <v>129</v>
      </c>
      <c r="C9" s="704"/>
      <c r="D9" s="704"/>
      <c r="E9" s="114"/>
      <c r="F9" s="117">
        <v>400000</v>
      </c>
      <c r="G9" s="118"/>
      <c r="H9" s="106" t="s">
        <v>130</v>
      </c>
      <c r="I9" s="107"/>
      <c r="J9" s="108"/>
      <c r="K9" s="108"/>
      <c r="L9" s="108"/>
      <c r="M9" s="108"/>
      <c r="N9" s="113"/>
      <c r="O9" s="113"/>
      <c r="P9" s="116"/>
      <c r="Q9" s="104"/>
      <c r="R9" s="348">
        <v>4</v>
      </c>
      <c r="S9" s="347" t="s">
        <v>128</v>
      </c>
      <c r="T9" s="450">
        <v>45</v>
      </c>
      <c r="U9" s="349">
        <f>(65.62*T9)</f>
        <v>2952.9</v>
      </c>
      <c r="V9" s="702"/>
      <c r="W9" s="702"/>
      <c r="X9" s="108"/>
      <c r="Y9" s="158"/>
    </row>
    <row r="10" spans="2:24" ht="15" customHeight="1">
      <c r="B10" s="704" t="s">
        <v>131</v>
      </c>
      <c r="C10" s="704"/>
      <c r="D10" s="704"/>
      <c r="E10" s="114"/>
      <c r="F10" s="119">
        <v>10</v>
      </c>
      <c r="G10" s="120"/>
      <c r="H10" s="106"/>
      <c r="I10" s="113" t="s">
        <v>126</v>
      </c>
      <c r="J10" s="108"/>
      <c r="K10" s="108"/>
      <c r="L10" s="108"/>
      <c r="M10" s="108"/>
      <c r="N10" s="705">
        <v>34.9</v>
      </c>
      <c r="O10" s="705"/>
      <c r="P10" s="705"/>
      <c r="Q10" s="104"/>
      <c r="R10" s="104"/>
      <c r="S10" s="104"/>
      <c r="T10" s="104"/>
      <c r="U10" s="104"/>
      <c r="V10" s="104"/>
      <c r="W10" s="104"/>
      <c r="X10" s="104"/>
    </row>
    <row r="11" spans="2:25" ht="15">
      <c r="B11" s="121" t="s">
        <v>132</v>
      </c>
      <c r="C11" s="114"/>
      <c r="D11" s="114"/>
      <c r="E11" s="114"/>
      <c r="F11" s="122"/>
      <c r="G11" s="112"/>
      <c r="H11" s="106"/>
      <c r="I11" s="107"/>
      <c r="J11" s="108"/>
      <c r="K11" s="108"/>
      <c r="L11" s="108"/>
      <c r="M11" s="108"/>
      <c r="N11" s="113"/>
      <c r="O11" s="113"/>
      <c r="P11" s="116"/>
      <c r="Q11" s="104"/>
      <c r="R11" s="699" t="s">
        <v>267</v>
      </c>
      <c r="S11" s="699"/>
      <c r="T11" s="699"/>
      <c r="U11" s="699"/>
      <c r="V11" s="699"/>
      <c r="W11" s="699"/>
      <c r="X11" s="699"/>
      <c r="Y11" s="440"/>
    </row>
    <row r="12" spans="2:25" ht="15" customHeight="1">
      <c r="B12" s="706" t="s">
        <v>133</v>
      </c>
      <c r="C12" s="706"/>
      <c r="D12" s="114"/>
      <c r="E12" s="114"/>
      <c r="F12" s="123" t="str">
        <f>IF('Custos '!C8=1,Parametro!B9,Parametro!B10)</f>
        <v>275/80</v>
      </c>
      <c r="G12" s="112"/>
      <c r="H12" s="106" t="s">
        <v>41</v>
      </c>
      <c r="I12" s="108"/>
      <c r="J12" s="108"/>
      <c r="K12" s="108"/>
      <c r="L12" s="108"/>
      <c r="M12" s="108"/>
      <c r="N12" s="113"/>
      <c r="O12" s="113"/>
      <c r="P12" s="116"/>
      <c r="Q12" s="104"/>
      <c r="R12" s="717" t="s">
        <v>114</v>
      </c>
      <c r="S12" s="717"/>
      <c r="T12" s="443" t="s">
        <v>44</v>
      </c>
      <c r="U12" s="443" t="s">
        <v>268</v>
      </c>
      <c r="V12" s="443" t="s">
        <v>269</v>
      </c>
      <c r="W12" s="700" t="s">
        <v>270</v>
      </c>
      <c r="X12" s="700"/>
      <c r="Y12" s="388"/>
    </row>
    <row r="13" spans="2:25" ht="15" customHeight="1">
      <c r="B13" s="706" t="s">
        <v>134</v>
      </c>
      <c r="C13" s="706"/>
      <c r="D13" s="114"/>
      <c r="E13" s="114"/>
      <c r="F13" s="119">
        <v>6</v>
      </c>
      <c r="G13" s="112"/>
      <c r="H13" s="124"/>
      <c r="I13" s="711" t="s">
        <v>266</v>
      </c>
      <c r="J13" s="711"/>
      <c r="K13" s="711"/>
      <c r="L13" s="711"/>
      <c r="M13" s="108"/>
      <c r="N13" s="712">
        <v>2390.03</v>
      </c>
      <c r="O13" s="712"/>
      <c r="P13" s="713"/>
      <c r="Q13" s="104"/>
      <c r="R13" s="723" t="s">
        <v>271</v>
      </c>
      <c r="S13" s="723"/>
      <c r="T13" s="444">
        <v>89.63</v>
      </c>
      <c r="U13" s="445">
        <v>4</v>
      </c>
      <c r="V13" s="446">
        <f>(U13/12)</f>
        <v>0.3333333333333333</v>
      </c>
      <c r="W13" s="701">
        <f>(V13*T13)</f>
        <v>29.876666666666665</v>
      </c>
      <c r="X13" s="701"/>
      <c r="Y13" s="389"/>
    </row>
    <row r="14" spans="2:25" ht="15" customHeight="1">
      <c r="B14" s="706" t="s">
        <v>135</v>
      </c>
      <c r="C14" s="706"/>
      <c r="D14" s="114"/>
      <c r="E14" s="114"/>
      <c r="F14" s="117">
        <v>125000</v>
      </c>
      <c r="G14" s="112"/>
      <c r="H14" s="124"/>
      <c r="I14" s="711" t="s">
        <v>296</v>
      </c>
      <c r="J14" s="711"/>
      <c r="K14" s="711"/>
      <c r="L14" s="711"/>
      <c r="M14" s="108"/>
      <c r="N14" s="710">
        <v>1435.37</v>
      </c>
      <c r="O14" s="710"/>
      <c r="P14" s="710"/>
      <c r="Q14" s="104"/>
      <c r="R14" s="723" t="s">
        <v>272</v>
      </c>
      <c r="S14" s="723"/>
      <c r="T14" s="444">
        <v>82.27</v>
      </c>
      <c r="U14" s="447">
        <v>6</v>
      </c>
      <c r="V14" s="446">
        <f>(U14/12)</f>
        <v>0.5</v>
      </c>
      <c r="W14" s="701">
        <f>(V14*T14)</f>
        <v>41.135</v>
      </c>
      <c r="X14" s="701"/>
      <c r="Y14" s="389"/>
    </row>
    <row r="15" spans="2:25" ht="15" customHeight="1">
      <c r="B15" s="706" t="s">
        <v>136</v>
      </c>
      <c r="C15" s="706"/>
      <c r="D15" s="114"/>
      <c r="E15" s="114"/>
      <c r="F15" s="125">
        <f>'Custos '!AH21</f>
        <v>2373.01</v>
      </c>
      <c r="G15" s="120"/>
      <c r="H15" s="124"/>
      <c r="I15" s="113"/>
      <c r="J15" s="113"/>
      <c r="K15" s="108"/>
      <c r="L15" s="108"/>
      <c r="M15" s="108"/>
      <c r="N15" s="113"/>
      <c r="O15" s="113"/>
      <c r="P15" s="116"/>
      <c r="Q15" s="104"/>
      <c r="R15" s="725" t="s">
        <v>273</v>
      </c>
      <c r="S15" s="725"/>
      <c r="T15" s="349">
        <v>93.26</v>
      </c>
      <c r="U15" s="347">
        <v>4</v>
      </c>
      <c r="V15" s="446">
        <f>(U15/12)</f>
        <v>0.3333333333333333</v>
      </c>
      <c r="W15" s="701">
        <f>(V15*T15)</f>
        <v>31.086666666666666</v>
      </c>
      <c r="X15" s="701"/>
      <c r="Y15" s="389"/>
    </row>
    <row r="16" spans="2:25" ht="15" customHeight="1">
      <c r="B16" s="706" t="s">
        <v>137</v>
      </c>
      <c r="C16" s="706"/>
      <c r="D16" s="114"/>
      <c r="E16" s="114"/>
      <c r="F16" s="126">
        <v>0</v>
      </c>
      <c r="G16" s="118"/>
      <c r="H16" s="106" t="s">
        <v>138</v>
      </c>
      <c r="I16" s="108"/>
      <c r="J16" s="108"/>
      <c r="K16" s="108"/>
      <c r="L16" s="108"/>
      <c r="M16" s="108"/>
      <c r="N16" s="113"/>
      <c r="O16" s="113"/>
      <c r="P16" s="116"/>
      <c r="Q16" s="104"/>
      <c r="R16" s="697" t="s">
        <v>294</v>
      </c>
      <c r="S16" s="698"/>
      <c r="T16" s="698"/>
      <c r="U16" s="698"/>
      <c r="V16" s="696"/>
      <c r="W16" s="695">
        <f>SUM(W13:X15)</f>
        <v>102.09833333333333</v>
      </c>
      <c r="X16" s="696"/>
      <c r="Y16" s="439"/>
    </row>
    <row r="17" spans="2:18" ht="15" customHeight="1">
      <c r="B17" s="706" t="s">
        <v>139</v>
      </c>
      <c r="C17" s="706"/>
      <c r="D17" s="114"/>
      <c r="E17" s="114"/>
      <c r="F17" s="126">
        <v>0</v>
      </c>
      <c r="G17" s="118"/>
      <c r="H17" s="124"/>
      <c r="I17" s="113" t="s">
        <v>140</v>
      </c>
      <c r="J17" s="113"/>
      <c r="K17" s="108"/>
      <c r="L17" s="108"/>
      <c r="M17" s="108"/>
      <c r="N17" s="710">
        <v>33.66</v>
      </c>
      <c r="O17" s="710"/>
      <c r="P17" s="710"/>
      <c r="Q17" s="104"/>
      <c r="R17" s="104"/>
    </row>
    <row r="18" spans="2:18" ht="15" customHeight="1">
      <c r="B18" s="706" t="s">
        <v>141</v>
      </c>
      <c r="C18" s="706"/>
      <c r="D18" s="114"/>
      <c r="E18" s="114"/>
      <c r="F18" s="126">
        <f>IF(F6="MICRO",Parametro!D9,Parametro!D10)</f>
        <v>587.5</v>
      </c>
      <c r="G18" s="118"/>
      <c r="H18" s="124"/>
      <c r="I18" s="113" t="s">
        <v>142</v>
      </c>
      <c r="J18" s="113"/>
      <c r="K18" s="108"/>
      <c r="L18" s="108"/>
      <c r="M18" s="108"/>
      <c r="N18" s="710">
        <v>456.67</v>
      </c>
      <c r="O18" s="710"/>
      <c r="P18" s="710"/>
      <c r="Q18" s="104"/>
      <c r="R18" s="104"/>
    </row>
    <row r="19" spans="2:18" ht="15" customHeight="1">
      <c r="B19" s="706" t="s">
        <v>134</v>
      </c>
      <c r="C19" s="706"/>
      <c r="D19" s="114"/>
      <c r="E19" s="114"/>
      <c r="F19" s="126">
        <v>2</v>
      </c>
      <c r="G19" s="118"/>
      <c r="H19" s="124"/>
      <c r="I19" s="113" t="s">
        <v>143</v>
      </c>
      <c r="J19" s="113"/>
      <c r="K19" s="108"/>
      <c r="L19" s="108"/>
      <c r="M19" s="108"/>
      <c r="N19" s="710">
        <v>246.23</v>
      </c>
      <c r="O19" s="710"/>
      <c r="P19" s="710"/>
      <c r="Q19" s="104"/>
      <c r="R19" s="104"/>
    </row>
    <row r="20" spans="2:18" ht="15" customHeight="1">
      <c r="B20" s="706" t="s">
        <v>144</v>
      </c>
      <c r="C20" s="706"/>
      <c r="D20" s="706"/>
      <c r="E20" s="114"/>
      <c r="F20" s="126">
        <f>F18*F19</f>
        <v>1175</v>
      </c>
      <c r="G20" s="118"/>
      <c r="H20" s="127"/>
      <c r="I20" s="113" t="s">
        <v>145</v>
      </c>
      <c r="J20" s="113"/>
      <c r="K20" s="113"/>
      <c r="L20" s="113"/>
      <c r="M20" s="398"/>
      <c r="N20" s="718">
        <v>0.01</v>
      </c>
      <c r="O20" s="718"/>
      <c r="P20" s="718"/>
      <c r="Q20" s="104"/>
      <c r="R20" s="104"/>
    </row>
    <row r="21" spans="2:18" ht="15.75" customHeight="1">
      <c r="B21" s="719" t="s">
        <v>146</v>
      </c>
      <c r="C21" s="719"/>
      <c r="D21" s="114"/>
      <c r="E21" s="114"/>
      <c r="F21" s="128">
        <f>((F15*F13+1)+(F20*4))/F14</f>
        <v>0.15151248</v>
      </c>
      <c r="G21" s="118"/>
      <c r="H21" s="129"/>
      <c r="I21" s="130"/>
      <c r="J21" s="130"/>
      <c r="K21" s="130"/>
      <c r="L21" s="130"/>
      <c r="M21" s="130"/>
      <c r="N21" s="730"/>
      <c r="O21" s="730"/>
      <c r="P21" s="730"/>
      <c r="Q21" s="104"/>
      <c r="R21" s="104"/>
    </row>
    <row r="22" spans="2:18" ht="15" customHeight="1">
      <c r="B22" s="714" t="s">
        <v>147</v>
      </c>
      <c r="C22" s="714"/>
      <c r="D22" s="114"/>
      <c r="E22" s="114"/>
      <c r="F22" s="119"/>
      <c r="G22" s="131"/>
      <c r="H22" s="715" t="s">
        <v>148</v>
      </c>
      <c r="I22" s="715"/>
      <c r="J22" s="715"/>
      <c r="K22" s="715"/>
      <c r="L22" s="715"/>
      <c r="M22" s="715"/>
      <c r="N22" s="716"/>
      <c r="O22" s="716"/>
      <c r="P22" s="716"/>
      <c r="Q22" s="104"/>
      <c r="R22" s="104"/>
    </row>
    <row r="23" spans="2:18" ht="17.25" customHeight="1">
      <c r="B23" s="720" t="s">
        <v>149</v>
      </c>
      <c r="C23" s="720"/>
      <c r="D23" s="720"/>
      <c r="E23" s="720"/>
      <c r="F23" s="117">
        <v>10000</v>
      </c>
      <c r="G23" s="112"/>
      <c r="H23" s="721" t="s">
        <v>150</v>
      </c>
      <c r="I23" s="721"/>
      <c r="J23" s="721"/>
      <c r="K23" s="721"/>
      <c r="L23" s="721"/>
      <c r="M23" s="721"/>
      <c r="N23" s="722">
        <v>10000</v>
      </c>
      <c r="O23" s="722"/>
      <c r="P23" s="722"/>
      <c r="Q23" s="104"/>
      <c r="R23" s="104"/>
    </row>
    <row r="24" spans="2:18" ht="18" customHeight="1">
      <c r="B24" s="720" t="s">
        <v>151</v>
      </c>
      <c r="C24" s="720"/>
      <c r="D24" s="720"/>
      <c r="E24" s="720"/>
      <c r="F24" s="132">
        <f>IF(F6="MICRO",8,15)</f>
        <v>15</v>
      </c>
      <c r="G24" s="120"/>
      <c r="H24" s="721" t="s">
        <v>152</v>
      </c>
      <c r="I24" s="721"/>
      <c r="J24" s="721"/>
      <c r="K24" s="721"/>
      <c r="L24" s="721"/>
      <c r="M24" s="721"/>
      <c r="N24" s="724">
        <f>Parametro!G24</f>
        <v>0.13017253419999997</v>
      </c>
      <c r="O24" s="724"/>
      <c r="P24" s="724"/>
      <c r="Q24" s="104"/>
      <c r="R24" s="104"/>
    </row>
    <row r="25" spans="2:20" ht="15" customHeight="1">
      <c r="B25" s="706" t="s">
        <v>146</v>
      </c>
      <c r="C25" s="706"/>
      <c r="D25" s="114"/>
      <c r="E25" s="114"/>
      <c r="F25" s="128">
        <f>(F24/F23)</f>
        <v>0.0015</v>
      </c>
      <c r="G25" s="133"/>
      <c r="H25" s="721" t="s">
        <v>54</v>
      </c>
      <c r="I25" s="721"/>
      <c r="J25" s="721"/>
      <c r="K25" s="721"/>
      <c r="L25" s="721"/>
      <c r="M25" s="721"/>
      <c r="N25" s="731">
        <f>Parametro!F24</f>
        <v>0.199592</v>
      </c>
      <c r="O25" s="731"/>
      <c r="P25" s="731"/>
      <c r="Q25" s="104"/>
      <c r="R25" s="104"/>
      <c r="S25" s="104"/>
      <c r="T25" s="104"/>
    </row>
    <row r="26" spans="2:24" ht="15" customHeight="1">
      <c r="B26" s="714" t="s">
        <v>119</v>
      </c>
      <c r="C26" s="714"/>
      <c r="D26" s="114"/>
      <c r="E26" s="114"/>
      <c r="F26" s="119"/>
      <c r="G26" s="131"/>
      <c r="H26" s="732" t="s">
        <v>153</v>
      </c>
      <c r="I26" s="732"/>
      <c r="J26" s="732"/>
      <c r="K26" s="732"/>
      <c r="L26" s="732"/>
      <c r="M26" s="732"/>
      <c r="N26" s="733">
        <f>SUM(N24:P25)</f>
        <v>0.32976453419999996</v>
      </c>
      <c r="O26" s="733"/>
      <c r="P26" s="733"/>
      <c r="Q26" s="104"/>
      <c r="R26" s="104"/>
      <c r="S26" s="104"/>
      <c r="T26" s="104"/>
      <c r="U26" s="104"/>
      <c r="V26" s="104"/>
      <c r="W26" s="104"/>
      <c r="X26" s="104"/>
    </row>
    <row r="27" spans="2:24" ht="15" customHeight="1">
      <c r="B27" s="734" t="s">
        <v>154</v>
      </c>
      <c r="C27" s="734"/>
      <c r="D27" s="114"/>
      <c r="E27" s="114"/>
      <c r="F27" s="132">
        <f>IF(F6="MICRO",'Memoria de Calculo'!#REF!,'Memoria de Calculo'!M7)</f>
        <v>3</v>
      </c>
      <c r="G27" s="112"/>
      <c r="H27" s="363"/>
      <c r="I27" s="102"/>
      <c r="J27" s="102"/>
      <c r="K27" s="102"/>
      <c r="L27" s="102"/>
      <c r="M27" s="390"/>
      <c r="N27" s="102"/>
      <c r="O27" s="728"/>
      <c r="P27" s="729"/>
      <c r="Q27" s="104"/>
      <c r="R27" s="104"/>
      <c r="S27" s="104"/>
      <c r="T27" s="104"/>
      <c r="U27" s="104"/>
      <c r="V27" s="104"/>
      <c r="W27" s="104"/>
      <c r="X27" s="104"/>
    </row>
    <row r="28" spans="2:24" ht="15" customHeight="1">
      <c r="B28" s="734" t="s">
        <v>155</v>
      </c>
      <c r="C28" s="734"/>
      <c r="D28" s="114"/>
      <c r="E28" s="114"/>
      <c r="F28" s="134" t="s">
        <v>126</v>
      </c>
      <c r="G28" s="133"/>
      <c r="H28" s="451"/>
      <c r="M28" s="396"/>
      <c r="N28" s="727"/>
      <c r="O28" s="727"/>
      <c r="P28" s="727"/>
      <c r="Q28" s="104"/>
      <c r="R28" s="104"/>
      <c r="S28" s="104"/>
      <c r="T28" s="104"/>
      <c r="U28" s="104"/>
      <c r="V28" s="104"/>
      <c r="W28" s="104"/>
      <c r="X28" s="104"/>
    </row>
    <row r="29" spans="2:24" ht="15" customHeight="1">
      <c r="B29" s="121" t="s">
        <v>138</v>
      </c>
      <c r="C29" s="135"/>
      <c r="D29" s="135"/>
      <c r="E29" s="135"/>
      <c r="F29" s="119"/>
      <c r="G29" s="112"/>
      <c r="H29" s="726"/>
      <c r="I29" s="726"/>
      <c r="J29" s="726"/>
      <c r="K29" s="726"/>
      <c r="L29" s="726"/>
      <c r="M29" s="108"/>
      <c r="N29" s="727"/>
      <c r="O29" s="727"/>
      <c r="P29" s="727"/>
      <c r="Q29" s="104"/>
      <c r="R29" s="104"/>
      <c r="S29" s="104"/>
      <c r="T29" s="104"/>
      <c r="U29" s="104"/>
      <c r="V29" s="104"/>
      <c r="W29" s="104"/>
      <c r="X29" s="104"/>
    </row>
    <row r="30" spans="2:24" ht="15" customHeight="1">
      <c r="B30" s="734" t="s">
        <v>156</v>
      </c>
      <c r="C30" s="734"/>
      <c r="D30" s="135"/>
      <c r="E30" s="135"/>
      <c r="F30" s="126">
        <v>246.23</v>
      </c>
      <c r="G30" s="112"/>
      <c r="H30" s="735"/>
      <c r="I30" s="735"/>
      <c r="J30" s="735"/>
      <c r="K30" s="735"/>
      <c r="L30" s="735"/>
      <c r="M30" s="108"/>
      <c r="N30" s="727"/>
      <c r="O30" s="727"/>
      <c r="P30" s="727"/>
      <c r="Q30" s="104"/>
      <c r="R30" s="104"/>
      <c r="S30" s="104"/>
      <c r="T30" s="104"/>
      <c r="U30" s="104"/>
      <c r="V30" s="104"/>
      <c r="W30" s="104"/>
      <c r="X30" s="104"/>
    </row>
    <row r="31" spans="2:24" ht="15" customHeight="1">
      <c r="B31" s="734" t="s">
        <v>140</v>
      </c>
      <c r="C31" s="734"/>
      <c r="D31" s="135"/>
      <c r="E31" s="135"/>
      <c r="F31" s="126">
        <v>33.66</v>
      </c>
      <c r="G31" s="118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2:24" ht="15" customHeight="1">
      <c r="B32" s="720" t="s">
        <v>245</v>
      </c>
      <c r="C32" s="720"/>
      <c r="D32" s="720"/>
      <c r="E32" s="720"/>
      <c r="F32" s="126">
        <v>350</v>
      </c>
      <c r="G32" s="118"/>
      <c r="H32" s="702"/>
      <c r="I32" s="702"/>
      <c r="J32" s="702"/>
      <c r="K32" s="702"/>
      <c r="L32" s="702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2:17" ht="15">
      <c r="B33" s="121"/>
      <c r="C33" s="136"/>
      <c r="D33" s="135"/>
      <c r="E33" s="135"/>
      <c r="F33" s="137"/>
      <c r="G33" s="118"/>
      <c r="H33" s="737"/>
      <c r="I33" s="737"/>
      <c r="J33" s="737"/>
      <c r="K33" s="737"/>
      <c r="L33" s="737"/>
      <c r="M33" s="737"/>
      <c r="N33" s="737"/>
      <c r="O33" s="737"/>
      <c r="P33" s="104"/>
      <c r="Q33" s="104"/>
    </row>
    <row r="34" spans="2:17" ht="15">
      <c r="B34" s="738"/>
      <c r="C34" s="738"/>
      <c r="D34" s="138"/>
      <c r="E34" s="138"/>
      <c r="F34" s="139"/>
      <c r="G34" s="112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2:17" ht="15.75" thickBot="1">
      <c r="B35" s="140"/>
      <c r="C35" s="140"/>
      <c r="D35" s="110"/>
      <c r="E35" s="110"/>
      <c r="F35" s="141"/>
      <c r="G35" s="112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2:17" ht="15" customHeight="1">
      <c r="B36" s="739" t="s">
        <v>157</v>
      </c>
      <c r="C36" s="739"/>
      <c r="D36" s="142"/>
      <c r="E36" s="142"/>
      <c r="F36" s="143"/>
      <c r="G36" s="144"/>
      <c r="H36" s="145"/>
      <c r="I36" s="145"/>
      <c r="J36" s="146"/>
      <c r="K36" s="104"/>
      <c r="L36" s="104"/>
      <c r="M36" s="104"/>
      <c r="N36" s="104"/>
      <c r="O36" s="104"/>
      <c r="P36" s="104"/>
      <c r="Q36" s="104"/>
    </row>
    <row r="37" spans="2:17" ht="15" customHeight="1">
      <c r="B37" s="740" t="s">
        <v>158</v>
      </c>
      <c r="C37" s="740"/>
      <c r="D37" s="740"/>
      <c r="E37" s="740"/>
      <c r="F37" s="740"/>
      <c r="G37" s="740"/>
      <c r="H37" s="740"/>
      <c r="I37" s="740"/>
      <c r="J37" s="740"/>
      <c r="K37" s="104"/>
      <c r="L37" s="104"/>
      <c r="M37" s="104"/>
      <c r="N37" s="104"/>
      <c r="O37" s="104"/>
      <c r="P37" s="104"/>
      <c r="Q37" s="104"/>
    </row>
    <row r="38" spans="2:17" ht="15" customHeight="1">
      <c r="B38" s="736" t="s">
        <v>159</v>
      </c>
      <c r="C38" s="736"/>
      <c r="D38" s="736"/>
      <c r="E38" s="736"/>
      <c r="F38" s="736"/>
      <c r="G38" s="736"/>
      <c r="H38" s="736"/>
      <c r="I38" s="736"/>
      <c r="J38" s="147"/>
      <c r="K38" s="104"/>
      <c r="L38" s="104"/>
      <c r="M38" s="104"/>
      <c r="N38" s="104"/>
      <c r="O38" s="104"/>
      <c r="P38" s="104"/>
      <c r="Q38" s="104"/>
    </row>
    <row r="39" spans="2:17" ht="15" customHeight="1">
      <c r="B39" s="736" t="s">
        <v>160</v>
      </c>
      <c r="C39" s="736"/>
      <c r="D39" s="736"/>
      <c r="E39" s="736"/>
      <c r="F39" s="736"/>
      <c r="G39" s="736"/>
      <c r="H39" s="736"/>
      <c r="I39" s="108"/>
      <c r="J39" s="147"/>
      <c r="K39" s="104"/>
      <c r="L39" s="104"/>
      <c r="M39" s="104"/>
      <c r="N39" s="104"/>
      <c r="O39" s="104"/>
      <c r="P39" s="104"/>
      <c r="Q39" s="104"/>
    </row>
    <row r="40" spans="2:17" ht="15" customHeight="1">
      <c r="B40" s="736" t="s">
        <v>161</v>
      </c>
      <c r="C40" s="736"/>
      <c r="D40" s="736"/>
      <c r="E40" s="736"/>
      <c r="F40" s="736"/>
      <c r="G40" s="736"/>
      <c r="H40" s="736"/>
      <c r="I40" s="736"/>
      <c r="J40" s="147"/>
      <c r="K40" s="104"/>
      <c r="L40" s="104"/>
      <c r="M40" s="104"/>
      <c r="N40" s="104"/>
      <c r="O40" s="104"/>
      <c r="P40" s="104"/>
      <c r="Q40" s="104"/>
    </row>
    <row r="41" spans="2:17" ht="31.5" customHeight="1" thickBot="1">
      <c r="B41" s="148"/>
      <c r="C41" s="149"/>
      <c r="D41" s="149"/>
      <c r="E41" s="149"/>
      <c r="F41" s="149"/>
      <c r="G41" s="150"/>
      <c r="H41" s="150"/>
      <c r="I41" s="150"/>
      <c r="J41" s="151"/>
      <c r="K41" s="104"/>
      <c r="L41" s="104"/>
      <c r="M41" s="104"/>
      <c r="N41" s="104"/>
      <c r="O41" s="104"/>
      <c r="P41" s="104"/>
      <c r="Q41" s="104"/>
    </row>
    <row r="43" ht="24" customHeight="1"/>
  </sheetData>
  <sheetProtection password="CAEE" sheet="1" objects="1" scenarios="1" selectLockedCells="1" selectUnlockedCells="1"/>
  <mergeCells count="78">
    <mergeCell ref="B27:C27"/>
    <mergeCell ref="B28:C28"/>
    <mergeCell ref="N28:P28"/>
    <mergeCell ref="B40:I40"/>
    <mergeCell ref="H33:O33"/>
    <mergeCell ref="B34:C34"/>
    <mergeCell ref="B36:C36"/>
    <mergeCell ref="B37:J37"/>
    <mergeCell ref="B38:I38"/>
    <mergeCell ref="B39:H39"/>
    <mergeCell ref="B30:C30"/>
    <mergeCell ref="H30:L30"/>
    <mergeCell ref="N30:P30"/>
    <mergeCell ref="B31:C31"/>
    <mergeCell ref="B32:E32"/>
    <mergeCell ref="H32:L32"/>
    <mergeCell ref="H29:L29"/>
    <mergeCell ref="N29:P29"/>
    <mergeCell ref="O27:P27"/>
    <mergeCell ref="N21:P21"/>
    <mergeCell ref="B25:C25"/>
    <mergeCell ref="H25:M25"/>
    <mergeCell ref="N25:P25"/>
    <mergeCell ref="B26:C26"/>
    <mergeCell ref="H26:M26"/>
    <mergeCell ref="N26:P26"/>
    <mergeCell ref="B23:E23"/>
    <mergeCell ref="H23:M23"/>
    <mergeCell ref="N23:P23"/>
    <mergeCell ref="R13:S13"/>
    <mergeCell ref="R14:S14"/>
    <mergeCell ref="B24:E24"/>
    <mergeCell ref="H24:M24"/>
    <mergeCell ref="N24:P24"/>
    <mergeCell ref="R15:S15"/>
    <mergeCell ref="B20:D20"/>
    <mergeCell ref="B22:C22"/>
    <mergeCell ref="H22:M22"/>
    <mergeCell ref="N22:P22"/>
    <mergeCell ref="R12:S12"/>
    <mergeCell ref="B18:C18"/>
    <mergeCell ref="N18:P18"/>
    <mergeCell ref="B19:C19"/>
    <mergeCell ref="N19:P19"/>
    <mergeCell ref="N20:P20"/>
    <mergeCell ref="B21:C21"/>
    <mergeCell ref="N17:P17"/>
    <mergeCell ref="B13:C13"/>
    <mergeCell ref="I13:L13"/>
    <mergeCell ref="N13:P13"/>
    <mergeCell ref="B14:C14"/>
    <mergeCell ref="I14:L14"/>
    <mergeCell ref="N14:P14"/>
    <mergeCell ref="B12:C12"/>
    <mergeCell ref="B5:D6"/>
    <mergeCell ref="E5:E6"/>
    <mergeCell ref="B15:C15"/>
    <mergeCell ref="B16:C16"/>
    <mergeCell ref="B17:C17"/>
    <mergeCell ref="B7:D7"/>
    <mergeCell ref="N7:P7"/>
    <mergeCell ref="B8:D8"/>
    <mergeCell ref="B9:D9"/>
    <mergeCell ref="B10:D10"/>
    <mergeCell ref="N10:P10"/>
    <mergeCell ref="V5:W5"/>
    <mergeCell ref="V6:W6"/>
    <mergeCell ref="V7:W7"/>
    <mergeCell ref="V8:W8"/>
    <mergeCell ref="R5:U5"/>
    <mergeCell ref="W16:X16"/>
    <mergeCell ref="R16:V16"/>
    <mergeCell ref="R11:X11"/>
    <mergeCell ref="W12:X12"/>
    <mergeCell ref="W13:X13"/>
    <mergeCell ref="W14:X14"/>
    <mergeCell ref="W15:X15"/>
    <mergeCell ref="V9:W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tabColor indexed="22"/>
  </sheetPr>
  <dimension ref="A1:AH151"/>
  <sheetViews>
    <sheetView showGridLines="0" zoomScalePageLayoutView="0" workbookViewId="0" topLeftCell="A1">
      <selection activeCell="N7" sqref="N7"/>
    </sheetView>
  </sheetViews>
  <sheetFormatPr defaultColWidth="9.140625" defaultRowHeight="15"/>
  <cols>
    <col min="1" max="1" width="1.421875" style="86" customWidth="1"/>
    <col min="2" max="2" width="2.7109375" style="86" customWidth="1"/>
    <col min="3" max="3" width="3.7109375" style="86" customWidth="1"/>
    <col min="4" max="4" width="6.00390625" style="86" customWidth="1"/>
    <col min="5" max="5" width="9.140625" style="86" customWidth="1"/>
    <col min="6" max="6" width="8.421875" style="86" customWidth="1"/>
    <col min="7" max="7" width="9.140625" style="86" customWidth="1"/>
    <col min="8" max="8" width="10.57421875" style="86" customWidth="1"/>
    <col min="9" max="9" width="5.7109375" style="86" customWidth="1"/>
    <col min="10" max="10" width="4.7109375" style="86" customWidth="1"/>
    <col min="11" max="11" width="4.28125" style="86" customWidth="1"/>
    <col min="12" max="12" width="10.00390625" style="86" customWidth="1"/>
    <col min="13" max="13" width="12.28125" style="86" customWidth="1"/>
    <col min="14" max="15" width="14.57421875" style="86" customWidth="1"/>
    <col min="16" max="16" width="11.28125" style="86" customWidth="1"/>
    <col min="17" max="16384" width="9.140625" style="86" customWidth="1"/>
  </cols>
  <sheetData>
    <row r="1" spans="1:34" ht="21">
      <c r="A1" s="88"/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1"/>
    </row>
    <row r="2" spans="1:34" ht="21">
      <c r="A2" s="92"/>
      <c r="B2" s="93"/>
      <c r="C2" s="93"/>
      <c r="D2" s="93"/>
      <c r="E2" s="93"/>
      <c r="F2" s="93"/>
      <c r="G2" s="93"/>
      <c r="H2" s="93" t="s">
        <v>112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</row>
    <row r="3" spans="1:34" ht="2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</row>
    <row r="4" spans="1:34" ht="21.75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 t="s">
        <v>162</v>
      </c>
      <c r="L4" s="96"/>
      <c r="M4" s="152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7"/>
    </row>
    <row r="5" spans="2:22" ht="15.75" thickBot="1">
      <c r="B5" s="153" t="s">
        <v>163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6"/>
      <c r="P5" s="156"/>
      <c r="Q5" s="156"/>
      <c r="R5" s="156"/>
      <c r="S5" s="156"/>
      <c r="T5" s="157"/>
      <c r="U5" s="158"/>
      <c r="V5" s="158"/>
    </row>
    <row r="6" spans="1:20" ht="15.75" thickBot="1">
      <c r="A6" s="156"/>
      <c r="B6" s="159" t="s">
        <v>164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769" t="s">
        <v>275</v>
      </c>
      <c r="N6" s="161" t="s">
        <v>276</v>
      </c>
      <c r="O6" s="157"/>
      <c r="P6" s="157"/>
      <c r="Q6" s="157"/>
      <c r="R6" s="157"/>
      <c r="S6" s="162"/>
      <c r="T6" s="162"/>
    </row>
    <row r="7" spans="1:20" ht="15">
      <c r="A7" s="156"/>
      <c r="B7" s="163"/>
      <c r="C7" s="157" t="s">
        <v>11</v>
      </c>
      <c r="D7" s="157"/>
      <c r="E7" s="157"/>
      <c r="F7" s="157"/>
      <c r="G7" s="157"/>
      <c r="H7" s="157"/>
      <c r="I7" s="157"/>
      <c r="J7" s="157"/>
      <c r="K7" s="157"/>
      <c r="L7" s="157"/>
      <c r="M7" s="770">
        <v>3</v>
      </c>
      <c r="N7" s="164">
        <v>2.5</v>
      </c>
      <c r="O7" s="157"/>
      <c r="P7" s="157"/>
      <c r="Q7" s="157"/>
      <c r="R7" s="157"/>
      <c r="S7" s="162"/>
      <c r="T7" s="162"/>
    </row>
    <row r="8" spans="1:20" ht="15.75" thickBot="1">
      <c r="A8" s="156"/>
      <c r="B8" s="163"/>
      <c r="C8" s="157" t="s">
        <v>166</v>
      </c>
      <c r="D8" s="157"/>
      <c r="E8" s="157"/>
      <c r="F8" s="157"/>
      <c r="G8" s="157"/>
      <c r="H8" s="157"/>
      <c r="I8" s="157"/>
      <c r="J8" s="157"/>
      <c r="K8" s="157"/>
      <c r="L8" s="157"/>
      <c r="M8" s="771">
        <v>6.3</v>
      </c>
      <c r="N8" s="165">
        <v>6.3</v>
      </c>
      <c r="O8" s="157"/>
      <c r="P8" s="157"/>
      <c r="Q8" s="157"/>
      <c r="R8" s="166"/>
      <c r="S8" s="167"/>
      <c r="T8" s="167"/>
    </row>
    <row r="9" spans="1:20" ht="15.75" thickBot="1">
      <c r="A9" s="168"/>
      <c r="B9" s="169"/>
      <c r="C9" s="170" t="s">
        <v>167</v>
      </c>
      <c r="D9" s="170"/>
      <c r="E9" s="170"/>
      <c r="F9" s="170"/>
      <c r="G9" s="170"/>
      <c r="H9" s="170"/>
      <c r="I9" s="170"/>
      <c r="J9" s="170"/>
      <c r="K9" s="160"/>
      <c r="L9" s="160"/>
      <c r="M9" s="772">
        <f>M8/M7</f>
        <v>2.1</v>
      </c>
      <c r="N9" s="171">
        <f>N8/N7</f>
        <v>2.52</v>
      </c>
      <c r="O9" s="166"/>
      <c r="P9" s="166"/>
      <c r="Q9" s="166"/>
      <c r="R9" s="166"/>
      <c r="S9" s="167"/>
      <c r="T9" s="167"/>
    </row>
    <row r="10" spans="1:20" ht="15">
      <c r="A10" s="168"/>
      <c r="B10" s="172"/>
      <c r="C10" s="173"/>
      <c r="D10" s="173"/>
      <c r="E10" s="173"/>
      <c r="F10" s="173"/>
      <c r="G10" s="173"/>
      <c r="H10" s="173"/>
      <c r="I10" s="173"/>
      <c r="J10" s="173"/>
      <c r="K10" s="154"/>
      <c r="L10" s="154"/>
      <c r="M10" s="773"/>
      <c r="N10" s="174"/>
      <c r="O10" s="166"/>
      <c r="P10" s="166"/>
      <c r="Q10" s="166"/>
      <c r="R10" s="157"/>
      <c r="S10" s="158"/>
      <c r="T10" s="158"/>
    </row>
    <row r="11" spans="1:20" ht="15.75" thickBot="1">
      <c r="A11" s="156"/>
      <c r="B11" s="175" t="s">
        <v>17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774"/>
      <c r="N11" s="178"/>
      <c r="O11" s="157"/>
      <c r="P11" s="157"/>
      <c r="Q11" s="157"/>
      <c r="R11" s="157"/>
      <c r="S11" s="158"/>
      <c r="T11" s="158"/>
    </row>
    <row r="12" spans="1:20" ht="15">
      <c r="A12" s="156"/>
      <c r="B12" s="163"/>
      <c r="C12" s="157" t="s">
        <v>18</v>
      </c>
      <c r="D12" s="157"/>
      <c r="E12" s="157"/>
      <c r="F12" s="157"/>
      <c r="G12" s="157"/>
      <c r="H12" s="157"/>
      <c r="I12" s="157"/>
      <c r="J12" s="157"/>
      <c r="K12" s="157"/>
      <c r="L12" s="157"/>
      <c r="M12" s="775">
        <f>Parametro!D15</f>
        <v>0.003</v>
      </c>
      <c r="N12" s="179">
        <f>Parametro!D16</f>
        <v>0.003</v>
      </c>
      <c r="O12" s="157"/>
      <c r="P12" s="157"/>
      <c r="Q12" s="157"/>
      <c r="R12" s="157"/>
      <c r="S12" s="158"/>
      <c r="T12" s="158"/>
    </row>
    <row r="13" spans="1:20" ht="15.75" thickBot="1">
      <c r="A13" s="156"/>
      <c r="B13" s="163"/>
      <c r="C13" s="157" t="s">
        <v>20</v>
      </c>
      <c r="D13" s="157"/>
      <c r="E13" s="157"/>
      <c r="F13" s="157"/>
      <c r="G13" s="157"/>
      <c r="H13" s="157"/>
      <c r="I13" s="157"/>
      <c r="J13" s="157"/>
      <c r="K13" s="157"/>
      <c r="L13" s="157"/>
      <c r="M13" s="776">
        <v>34.9</v>
      </c>
      <c r="N13" s="180">
        <v>34.9</v>
      </c>
      <c r="O13" s="157"/>
      <c r="P13" s="157"/>
      <c r="Q13" s="157"/>
      <c r="R13" s="157"/>
      <c r="S13" s="158"/>
      <c r="T13" s="158"/>
    </row>
    <row r="14" spans="1:20" ht="15.75" thickBot="1">
      <c r="A14" s="156"/>
      <c r="B14" s="181"/>
      <c r="C14" s="182" t="s">
        <v>167</v>
      </c>
      <c r="D14" s="160"/>
      <c r="E14" s="160"/>
      <c r="F14" s="160"/>
      <c r="G14" s="160"/>
      <c r="H14" s="160"/>
      <c r="I14" s="160"/>
      <c r="J14" s="160"/>
      <c r="K14" s="160"/>
      <c r="L14" s="160"/>
      <c r="M14" s="772">
        <f>M13*M12</f>
        <v>0.1047</v>
      </c>
      <c r="N14" s="171">
        <f>N13*N12</f>
        <v>0.1047</v>
      </c>
      <c r="O14" s="157"/>
      <c r="P14" s="157"/>
      <c r="Q14" s="157"/>
      <c r="R14" s="157"/>
      <c r="S14" s="158"/>
      <c r="T14" s="158"/>
    </row>
    <row r="15" spans="1:20" ht="15">
      <c r="A15" s="156"/>
      <c r="B15" s="163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777"/>
      <c r="N15" s="183"/>
      <c r="O15" s="157"/>
      <c r="P15" s="157"/>
      <c r="Q15" s="157"/>
      <c r="R15" s="157"/>
      <c r="S15" s="158"/>
      <c r="T15" s="158"/>
    </row>
    <row r="16" spans="1:20" ht="15.75" thickBot="1">
      <c r="A16" s="156"/>
      <c r="B16" s="744" t="s">
        <v>23</v>
      </c>
      <c r="C16" s="744"/>
      <c r="D16" s="744"/>
      <c r="E16" s="744"/>
      <c r="F16" s="744"/>
      <c r="G16" s="744"/>
      <c r="H16" s="157"/>
      <c r="I16" s="157"/>
      <c r="J16" s="157"/>
      <c r="K16" s="157"/>
      <c r="L16" s="157"/>
      <c r="M16" s="778"/>
      <c r="N16" s="186"/>
      <c r="O16" s="157"/>
      <c r="P16" s="157"/>
      <c r="Q16" s="157"/>
      <c r="R16" s="157"/>
      <c r="S16" s="158"/>
      <c r="T16" s="158"/>
    </row>
    <row r="17" spans="1:20" ht="15" customHeight="1">
      <c r="A17" s="156"/>
      <c r="B17" s="187"/>
      <c r="C17" s="745" t="s">
        <v>168</v>
      </c>
      <c r="D17" s="745"/>
      <c r="E17" s="745"/>
      <c r="F17" s="745"/>
      <c r="G17" s="745"/>
      <c r="H17" s="745"/>
      <c r="I17" s="745"/>
      <c r="J17" s="745"/>
      <c r="K17" s="154"/>
      <c r="L17" s="154"/>
      <c r="M17" s="779">
        <v>105000</v>
      </c>
      <c r="N17" s="188">
        <v>95000</v>
      </c>
      <c r="O17" s="157"/>
      <c r="P17" s="157"/>
      <c r="Q17" s="157"/>
      <c r="R17" s="157"/>
      <c r="S17" s="158"/>
      <c r="T17" s="158"/>
    </row>
    <row r="18" spans="1:20" ht="15">
      <c r="A18" s="156"/>
      <c r="B18" s="184"/>
      <c r="C18" s="157" t="s">
        <v>29</v>
      </c>
      <c r="D18" s="157"/>
      <c r="E18" s="157"/>
      <c r="F18" s="157"/>
      <c r="G18" s="157"/>
      <c r="H18" s="157"/>
      <c r="I18" s="157"/>
      <c r="J18" s="157"/>
      <c r="K18" s="157"/>
      <c r="L18" s="157"/>
      <c r="M18" s="780">
        <v>4</v>
      </c>
      <c r="N18" s="189">
        <v>4</v>
      </c>
      <c r="O18" s="157"/>
      <c r="P18" s="157"/>
      <c r="Q18" s="157"/>
      <c r="R18" s="157"/>
      <c r="S18" s="158"/>
      <c r="T18" s="158"/>
    </row>
    <row r="19" spans="1:20" ht="15">
      <c r="A19" s="156"/>
      <c r="B19" s="163"/>
      <c r="C19" s="157" t="s">
        <v>31</v>
      </c>
      <c r="D19" s="157"/>
      <c r="E19" s="157"/>
      <c r="F19" s="157"/>
      <c r="G19" s="157"/>
      <c r="H19" s="157"/>
      <c r="I19" s="157"/>
      <c r="J19" s="157"/>
      <c r="K19" s="157"/>
      <c r="L19" s="157"/>
      <c r="M19" s="776">
        <v>2373.01</v>
      </c>
      <c r="N19" s="180">
        <v>2373.01</v>
      </c>
      <c r="O19" s="157"/>
      <c r="P19" s="157"/>
      <c r="Q19" s="157"/>
      <c r="R19" s="157"/>
      <c r="S19" s="158"/>
      <c r="T19" s="158"/>
    </row>
    <row r="20" spans="1:20" ht="15">
      <c r="A20" s="156"/>
      <c r="B20" s="163"/>
      <c r="C20" s="157" t="s">
        <v>169</v>
      </c>
      <c r="D20" s="157"/>
      <c r="E20" s="157"/>
      <c r="F20" s="157"/>
      <c r="G20" s="157"/>
      <c r="H20" s="157"/>
      <c r="I20" s="157"/>
      <c r="J20" s="157"/>
      <c r="K20" s="157"/>
      <c r="L20" s="157"/>
      <c r="M20" s="776"/>
      <c r="N20" s="180"/>
      <c r="O20" s="157"/>
      <c r="P20" s="157"/>
      <c r="Q20" s="157"/>
      <c r="R20" s="157"/>
      <c r="S20" s="158"/>
      <c r="T20" s="158"/>
    </row>
    <row r="21" spans="1:20" ht="15">
      <c r="A21" s="156"/>
      <c r="B21" s="163"/>
      <c r="C21" s="157" t="s">
        <v>170</v>
      </c>
      <c r="D21" s="157"/>
      <c r="E21" s="157"/>
      <c r="F21" s="157"/>
      <c r="G21" s="157"/>
      <c r="H21" s="157"/>
      <c r="I21" s="157"/>
      <c r="J21" s="157"/>
      <c r="K21" s="157"/>
      <c r="L21" s="157"/>
      <c r="M21" s="776"/>
      <c r="N21" s="180"/>
      <c r="O21" s="157"/>
      <c r="P21" s="157"/>
      <c r="Q21" s="157"/>
      <c r="R21" s="157"/>
      <c r="S21" s="158"/>
      <c r="T21" s="158"/>
    </row>
    <row r="22" spans="1:20" ht="15.75" thickBot="1">
      <c r="A22" s="156"/>
      <c r="B22" s="190"/>
      <c r="C22" s="176" t="s">
        <v>171</v>
      </c>
      <c r="D22" s="176"/>
      <c r="E22" s="176"/>
      <c r="F22" s="176"/>
      <c r="G22" s="176"/>
      <c r="H22" s="176"/>
      <c r="I22" s="176"/>
      <c r="J22" s="176"/>
      <c r="K22" s="176"/>
      <c r="L22" s="176"/>
      <c r="M22" s="781">
        <f>(587.5*2)</f>
        <v>1175</v>
      </c>
      <c r="N22" s="191">
        <f>(587.5*2)</f>
        <v>1175</v>
      </c>
      <c r="O22" s="157"/>
      <c r="P22" s="157"/>
      <c r="Q22" s="157"/>
      <c r="R22" s="157"/>
      <c r="S22" s="158"/>
      <c r="T22" s="158"/>
    </row>
    <row r="23" spans="1:20" ht="15.75" thickBot="1">
      <c r="A23" s="192"/>
      <c r="B23" s="181"/>
      <c r="C23" s="746" t="s">
        <v>172</v>
      </c>
      <c r="D23" s="746"/>
      <c r="E23" s="746"/>
      <c r="F23" s="746"/>
      <c r="G23" s="160"/>
      <c r="H23" s="160"/>
      <c r="I23" s="160"/>
      <c r="J23" s="160"/>
      <c r="K23" s="160"/>
      <c r="L23" s="160"/>
      <c r="M23" s="772">
        <f>(SUM(M19:M22)*M18)/M17</f>
        <v>0.13516228571428573</v>
      </c>
      <c r="N23" s="171">
        <f>(SUM(N19:N22)*N18)/N17</f>
        <v>0.1493898947368421</v>
      </c>
      <c r="O23" s="194"/>
      <c r="P23" s="194"/>
      <c r="Q23" s="194"/>
      <c r="R23" s="157"/>
      <c r="S23" s="158"/>
      <c r="T23" s="158"/>
    </row>
    <row r="24" spans="1:20" ht="15">
      <c r="A24" s="192"/>
      <c r="B24" s="163"/>
      <c r="C24" s="611" t="s">
        <v>173</v>
      </c>
      <c r="D24" s="611"/>
      <c r="E24" s="611"/>
      <c r="F24" s="611"/>
      <c r="G24" s="611"/>
      <c r="H24" s="611"/>
      <c r="I24" s="611"/>
      <c r="J24" s="611"/>
      <c r="K24" s="157"/>
      <c r="L24" s="157"/>
      <c r="M24" s="780">
        <v>62500</v>
      </c>
      <c r="N24" s="189">
        <v>50000</v>
      </c>
      <c r="O24" s="194"/>
      <c r="P24" s="194"/>
      <c r="Q24" s="194"/>
      <c r="R24" s="157"/>
      <c r="S24" s="158"/>
      <c r="T24" s="158"/>
    </row>
    <row r="25" spans="1:20" ht="15">
      <c r="A25" s="192"/>
      <c r="B25" s="163"/>
      <c r="C25" s="157" t="s">
        <v>29</v>
      </c>
      <c r="D25" s="157"/>
      <c r="E25" s="157"/>
      <c r="F25" s="157"/>
      <c r="G25" s="157"/>
      <c r="H25" s="157"/>
      <c r="I25" s="157"/>
      <c r="J25" s="157"/>
      <c r="K25" s="157"/>
      <c r="L25" s="157"/>
      <c r="M25" s="780">
        <v>2</v>
      </c>
      <c r="N25" s="189">
        <v>2</v>
      </c>
      <c r="O25" s="194"/>
      <c r="P25" s="194"/>
      <c r="Q25" s="194"/>
      <c r="R25" s="157"/>
      <c r="S25" s="158"/>
      <c r="T25" s="158"/>
    </row>
    <row r="26" spans="1:20" ht="15.75" thickBot="1">
      <c r="A26" s="192"/>
      <c r="B26" s="163"/>
      <c r="C26" s="157" t="s">
        <v>31</v>
      </c>
      <c r="D26" s="157"/>
      <c r="E26" s="157"/>
      <c r="F26" s="157"/>
      <c r="G26" s="157"/>
      <c r="H26" s="157"/>
      <c r="I26" s="157"/>
      <c r="J26" s="157"/>
      <c r="K26" s="157"/>
      <c r="L26" s="157"/>
      <c r="M26" s="776">
        <v>2373.01</v>
      </c>
      <c r="N26" s="180">
        <v>2373.01</v>
      </c>
      <c r="O26" s="194"/>
      <c r="P26" s="194"/>
      <c r="Q26" s="194"/>
      <c r="R26" s="194"/>
      <c r="S26" s="195"/>
      <c r="T26" s="195"/>
    </row>
    <row r="27" spans="1:20" ht="15.75" thickBot="1">
      <c r="A27" s="192"/>
      <c r="B27" s="181"/>
      <c r="C27" s="746" t="s">
        <v>174</v>
      </c>
      <c r="D27" s="746"/>
      <c r="E27" s="746"/>
      <c r="F27" s="746"/>
      <c r="G27" s="160"/>
      <c r="H27" s="160"/>
      <c r="I27" s="160"/>
      <c r="J27" s="160"/>
      <c r="K27" s="160"/>
      <c r="L27" s="160"/>
      <c r="M27" s="772">
        <f>(M26*M25)/M24</f>
        <v>0.07593632</v>
      </c>
      <c r="N27" s="171">
        <f>(N26*N25)/N24</f>
        <v>0.0949204</v>
      </c>
      <c r="O27" s="194"/>
      <c r="P27" s="194"/>
      <c r="Q27" s="194"/>
      <c r="R27" s="194"/>
      <c r="S27" s="195"/>
      <c r="T27" s="195"/>
    </row>
    <row r="28" spans="1:20" ht="15.75" thickBot="1">
      <c r="A28" s="192"/>
      <c r="B28" s="196"/>
      <c r="C28" s="746" t="s">
        <v>47</v>
      </c>
      <c r="D28" s="746"/>
      <c r="E28" s="746"/>
      <c r="F28" s="746"/>
      <c r="G28" s="182"/>
      <c r="H28" s="182"/>
      <c r="I28" s="182"/>
      <c r="J28" s="182"/>
      <c r="K28" s="160"/>
      <c r="L28" s="160"/>
      <c r="M28" s="782">
        <f>SUM(M23,M27)</f>
        <v>0.21109860571428574</v>
      </c>
      <c r="N28" s="197">
        <f>SUM(N23,N27)</f>
        <v>0.24431029473684213</v>
      </c>
      <c r="O28" s="194"/>
      <c r="P28" s="194"/>
      <c r="Q28" s="194"/>
      <c r="R28" s="157"/>
      <c r="S28" s="158"/>
      <c r="T28" s="158"/>
    </row>
    <row r="29" spans="1:20" ht="15.75" thickBot="1">
      <c r="A29" s="156"/>
      <c r="B29" s="159" t="s">
        <v>48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783"/>
      <c r="N29" s="193"/>
      <c r="O29" s="157"/>
      <c r="P29" s="157"/>
      <c r="Q29" s="157"/>
      <c r="R29" s="157"/>
      <c r="S29" s="158"/>
      <c r="T29" s="158"/>
    </row>
    <row r="30" spans="1:20" ht="15">
      <c r="A30" s="156"/>
      <c r="B30" s="163"/>
      <c r="C30" s="157" t="s">
        <v>175</v>
      </c>
      <c r="D30" s="157"/>
      <c r="E30" s="157"/>
      <c r="F30" s="157"/>
      <c r="G30" s="157"/>
      <c r="H30" s="157"/>
      <c r="I30" s="157"/>
      <c r="J30" s="157"/>
      <c r="K30" s="157"/>
      <c r="L30" s="157"/>
      <c r="M30" s="776"/>
      <c r="N30" s="180"/>
      <c r="O30" s="157"/>
      <c r="P30" s="157"/>
      <c r="Q30" s="157"/>
      <c r="R30" s="157"/>
      <c r="S30" s="158"/>
      <c r="T30" s="158"/>
    </row>
    <row r="31" spans="1:20" ht="15">
      <c r="A31" s="156"/>
      <c r="B31" s="163"/>
      <c r="C31" s="157" t="s">
        <v>176</v>
      </c>
      <c r="D31" s="157"/>
      <c r="E31" s="157"/>
      <c r="F31" s="157"/>
      <c r="G31" s="157"/>
      <c r="H31" s="157"/>
      <c r="I31" s="157"/>
      <c r="J31" s="157"/>
      <c r="K31" s="157"/>
      <c r="L31" s="157"/>
      <c r="M31" s="780">
        <v>10000</v>
      </c>
      <c r="N31" s="189">
        <v>5000</v>
      </c>
      <c r="O31" s="157"/>
      <c r="P31" s="157"/>
      <c r="Q31" s="157"/>
      <c r="R31" s="157"/>
      <c r="S31" s="158"/>
      <c r="T31" s="158"/>
    </row>
    <row r="32" spans="1:20" ht="15">
      <c r="A32" s="156"/>
      <c r="B32" s="163"/>
      <c r="C32" s="157" t="s">
        <v>177</v>
      </c>
      <c r="D32" s="157"/>
      <c r="E32" s="157"/>
      <c r="F32" s="157"/>
      <c r="G32" s="157"/>
      <c r="H32" s="157"/>
      <c r="I32" s="157"/>
      <c r="J32" s="157"/>
      <c r="K32" s="157"/>
      <c r="L32" s="157"/>
      <c r="M32" s="784">
        <f>Parametro!F25</f>
        <v>0.15</v>
      </c>
      <c r="N32" s="198">
        <f>Parametro!I3</f>
        <v>0.3</v>
      </c>
      <c r="O32" s="157"/>
      <c r="P32" s="157"/>
      <c r="Q32" s="157"/>
      <c r="R32" s="157"/>
      <c r="S32" s="158"/>
      <c r="T32" s="158"/>
    </row>
    <row r="33" spans="1:20" ht="15.75" thickBot="1">
      <c r="A33" s="156"/>
      <c r="B33" s="163"/>
      <c r="C33" s="157" t="s">
        <v>178</v>
      </c>
      <c r="D33" s="157"/>
      <c r="E33" s="157"/>
      <c r="F33" s="157"/>
      <c r="G33" s="157"/>
      <c r="H33" s="157"/>
      <c r="I33" s="157"/>
      <c r="J33" s="157"/>
      <c r="K33" s="157"/>
      <c r="L33" s="157"/>
      <c r="M33" s="784">
        <f>Parametro!G25</f>
        <v>0.0557740294</v>
      </c>
      <c r="N33" s="198">
        <f>Parametro!J3</f>
        <v>0.1115480588</v>
      </c>
      <c r="O33" s="157"/>
      <c r="P33" s="157"/>
      <c r="Q33" s="157"/>
      <c r="R33" s="194"/>
      <c r="S33" s="195"/>
      <c r="T33" s="195"/>
    </row>
    <row r="34" spans="1:20" ht="15.75" thickBot="1">
      <c r="A34" s="192"/>
      <c r="B34" s="196" t="s">
        <v>179</v>
      </c>
      <c r="C34" s="182"/>
      <c r="D34" s="182"/>
      <c r="E34" s="182"/>
      <c r="F34" s="182"/>
      <c r="G34" s="182"/>
      <c r="H34" s="182"/>
      <c r="I34" s="182"/>
      <c r="J34" s="182"/>
      <c r="K34" s="160"/>
      <c r="L34" s="160"/>
      <c r="M34" s="772">
        <f>SUM(M32:M33)</f>
        <v>0.2057740294</v>
      </c>
      <c r="N34" s="174">
        <f>SUM(N32:N33)</f>
        <v>0.4115480588</v>
      </c>
      <c r="O34" s="194"/>
      <c r="P34" s="194"/>
      <c r="Q34" s="194"/>
      <c r="R34" s="157"/>
      <c r="S34" s="158"/>
      <c r="T34" s="158"/>
    </row>
    <row r="35" spans="1:20" ht="18.75">
      <c r="A35" s="156"/>
      <c r="B35" s="163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785"/>
      <c r="N35" s="504"/>
      <c r="O35" s="157"/>
      <c r="P35" s="157"/>
      <c r="Q35" s="157"/>
      <c r="R35" s="157"/>
      <c r="S35" s="199"/>
      <c r="T35" s="199"/>
    </row>
    <row r="36" spans="1:20" ht="15.75" thickBot="1">
      <c r="A36" s="156"/>
      <c r="B36" s="200" t="s">
        <v>180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786">
        <f>SUM(M9,M14,M28,M34)</f>
        <v>2.6215726351142856</v>
      </c>
      <c r="N36" s="505">
        <f>SUM(N9,N14,N28,N34)</f>
        <v>3.2805583535368417</v>
      </c>
      <c r="O36" s="157"/>
      <c r="P36" s="157"/>
      <c r="Q36" s="157"/>
      <c r="R36" s="157"/>
      <c r="S36" s="158"/>
      <c r="T36" s="158"/>
    </row>
    <row r="37" spans="1:19" ht="15.75" thickBot="1">
      <c r="A37" s="156"/>
      <c r="B37" s="181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57"/>
      <c r="O37" s="157"/>
      <c r="P37" s="157"/>
      <c r="Q37" s="157"/>
      <c r="R37" s="157"/>
      <c r="S37" s="156"/>
    </row>
    <row r="38" spans="1:20" ht="15.75" thickBot="1">
      <c r="A38" s="156"/>
      <c r="B38" s="200" t="s">
        <v>181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86"/>
      <c r="O38" s="157"/>
      <c r="P38" s="157"/>
      <c r="Q38" s="157"/>
      <c r="R38" s="157"/>
      <c r="S38" s="157"/>
      <c r="T38" s="156"/>
    </row>
    <row r="39" spans="1:23" ht="15.75" thickBot="1">
      <c r="A39" s="156"/>
      <c r="B39" s="201"/>
      <c r="C39" s="202" t="s">
        <v>22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O39" s="157"/>
      <c r="P39" s="157"/>
      <c r="Q39" s="157"/>
      <c r="R39" s="157"/>
      <c r="S39" s="157"/>
      <c r="T39" s="156"/>
      <c r="W39" s="203"/>
    </row>
    <row r="40" spans="1:21" ht="15.75" thickBot="1">
      <c r="A40" s="156"/>
      <c r="B40" s="204"/>
      <c r="C40" s="205" t="s">
        <v>182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7"/>
      <c r="P40" s="156"/>
      <c r="Q40" s="156"/>
      <c r="R40" s="156"/>
      <c r="S40" s="156"/>
      <c r="T40" s="156"/>
      <c r="U40" s="156"/>
    </row>
    <row r="41" spans="1:21" ht="15">
      <c r="A41" s="156"/>
      <c r="B41" s="208"/>
      <c r="C41" s="209"/>
      <c r="D41" s="210"/>
      <c r="E41" s="210"/>
      <c r="F41" s="210"/>
      <c r="G41" s="210"/>
      <c r="H41" s="210"/>
      <c r="I41" s="210"/>
      <c r="J41" s="210"/>
      <c r="K41" s="211"/>
      <c r="L41" s="212" t="s">
        <v>183</v>
      </c>
      <c r="M41" s="210"/>
      <c r="N41" s="210"/>
      <c r="O41" s="213"/>
      <c r="P41" s="214"/>
      <c r="Q41" s="214"/>
      <c r="R41" s="214"/>
      <c r="S41" s="156"/>
      <c r="T41" s="156"/>
      <c r="U41" s="156"/>
    </row>
    <row r="42" spans="1:21" ht="15">
      <c r="A42" s="156"/>
      <c r="B42" s="204"/>
      <c r="C42" s="215" t="s">
        <v>26</v>
      </c>
      <c r="D42" s="216"/>
      <c r="E42" s="216"/>
      <c r="F42" s="216" t="s">
        <v>27</v>
      </c>
      <c r="G42" s="216"/>
      <c r="H42" s="216"/>
      <c r="I42" s="158"/>
      <c r="J42" s="158"/>
      <c r="K42" s="158"/>
      <c r="L42" s="217" t="s">
        <v>184</v>
      </c>
      <c r="M42" s="217"/>
      <c r="N42" s="217"/>
      <c r="O42" s="218"/>
      <c r="P42" s="219"/>
      <c r="Q42" s="219"/>
      <c r="R42" s="219"/>
      <c r="S42" s="156"/>
      <c r="T42" s="156"/>
      <c r="U42" s="156"/>
    </row>
    <row r="43" spans="1:21" ht="15" customHeight="1">
      <c r="A43" s="156"/>
      <c r="B43" s="220"/>
      <c r="C43" s="747">
        <v>2023</v>
      </c>
      <c r="D43" s="747"/>
      <c r="E43" s="221">
        <v>0</v>
      </c>
      <c r="F43" s="221" t="s">
        <v>185</v>
      </c>
      <c r="G43" s="221">
        <v>1</v>
      </c>
      <c r="H43" s="216" t="s">
        <v>186</v>
      </c>
      <c r="I43" s="158"/>
      <c r="J43" s="158"/>
      <c r="K43" s="158"/>
      <c r="L43" s="222"/>
      <c r="M43" s="741" t="s">
        <v>187</v>
      </c>
      <c r="N43" s="742"/>
      <c r="O43" s="223">
        <v>0.1545</v>
      </c>
      <c r="P43" s="224"/>
      <c r="Q43" s="224"/>
      <c r="R43" s="224"/>
      <c r="S43" s="156"/>
      <c r="T43" s="156"/>
      <c r="U43" s="156"/>
    </row>
    <row r="44" spans="1:21" ht="15" customHeight="1">
      <c r="A44" s="156"/>
      <c r="B44" s="220"/>
      <c r="C44" s="747">
        <v>2022</v>
      </c>
      <c r="D44" s="747"/>
      <c r="E44" s="221">
        <v>1</v>
      </c>
      <c r="F44" s="221" t="s">
        <v>185</v>
      </c>
      <c r="G44" s="221">
        <v>2</v>
      </c>
      <c r="H44" s="216" t="s">
        <v>188</v>
      </c>
      <c r="I44" s="158"/>
      <c r="J44" s="158"/>
      <c r="K44" s="158"/>
      <c r="L44" s="222"/>
      <c r="M44" s="741" t="s">
        <v>189</v>
      </c>
      <c r="N44" s="742"/>
      <c r="O44" s="223">
        <v>0.1391</v>
      </c>
      <c r="P44" s="224"/>
      <c r="Q44" s="224"/>
      <c r="R44" s="224"/>
      <c r="S44" s="156"/>
      <c r="T44" s="156"/>
      <c r="U44" s="156"/>
    </row>
    <row r="45" spans="1:21" ht="15" customHeight="1">
      <c r="A45" s="156"/>
      <c r="B45" s="220"/>
      <c r="C45" s="747">
        <v>2021</v>
      </c>
      <c r="D45" s="747"/>
      <c r="E45" s="221">
        <v>2</v>
      </c>
      <c r="F45" s="221" t="s">
        <v>185</v>
      </c>
      <c r="G45" s="221">
        <v>3</v>
      </c>
      <c r="H45" s="216" t="s">
        <v>188</v>
      </c>
      <c r="I45" s="158"/>
      <c r="J45" s="158"/>
      <c r="K45" s="158"/>
      <c r="L45" s="222"/>
      <c r="M45" s="741" t="s">
        <v>190</v>
      </c>
      <c r="N45" s="742"/>
      <c r="O45" s="223">
        <v>0.1236</v>
      </c>
      <c r="P45" s="224"/>
      <c r="Q45" s="224"/>
      <c r="R45" s="224"/>
      <c r="S45" s="156"/>
      <c r="T45" s="156"/>
      <c r="U45" s="156"/>
    </row>
    <row r="46" spans="1:21" ht="15" customHeight="1">
      <c r="A46" s="156"/>
      <c r="B46" s="220"/>
      <c r="C46" s="747">
        <v>2020</v>
      </c>
      <c r="D46" s="747"/>
      <c r="E46" s="221">
        <v>3</v>
      </c>
      <c r="F46" s="221" t="s">
        <v>185</v>
      </c>
      <c r="G46" s="221">
        <v>4</v>
      </c>
      <c r="H46" s="216" t="s">
        <v>188</v>
      </c>
      <c r="I46" s="158"/>
      <c r="J46" s="158"/>
      <c r="K46" s="158"/>
      <c r="L46" s="222"/>
      <c r="M46" s="741" t="s">
        <v>191</v>
      </c>
      <c r="N46" s="742"/>
      <c r="O46" s="223">
        <v>0.1082</v>
      </c>
      <c r="P46" s="224"/>
      <c r="Q46" s="224"/>
      <c r="R46" s="224"/>
      <c r="S46" s="156"/>
      <c r="T46" s="156"/>
      <c r="U46" s="156"/>
    </row>
    <row r="47" spans="1:21" ht="15" customHeight="1">
      <c r="A47" s="156"/>
      <c r="B47" s="220"/>
      <c r="C47" s="747">
        <v>2019</v>
      </c>
      <c r="D47" s="747"/>
      <c r="E47" s="221">
        <v>4</v>
      </c>
      <c r="F47" s="221" t="s">
        <v>185</v>
      </c>
      <c r="G47" s="221">
        <v>5</v>
      </c>
      <c r="H47" s="216" t="s">
        <v>188</v>
      </c>
      <c r="I47" s="158"/>
      <c r="J47" s="158"/>
      <c r="K47" s="158"/>
      <c r="L47" s="222"/>
      <c r="M47" s="741" t="s">
        <v>192</v>
      </c>
      <c r="N47" s="742"/>
      <c r="O47" s="223">
        <v>0.0927</v>
      </c>
      <c r="P47" s="224"/>
      <c r="Q47" s="224"/>
      <c r="R47" s="224"/>
      <c r="S47" s="156"/>
      <c r="T47" s="156"/>
      <c r="U47" s="156"/>
    </row>
    <row r="48" spans="1:21" ht="15" customHeight="1">
      <c r="A48" s="156"/>
      <c r="B48" s="220"/>
      <c r="C48" s="747">
        <v>2018</v>
      </c>
      <c r="D48" s="747"/>
      <c r="E48" s="221">
        <v>5</v>
      </c>
      <c r="F48" s="221" t="s">
        <v>185</v>
      </c>
      <c r="G48" s="221">
        <v>6</v>
      </c>
      <c r="H48" s="216" t="s">
        <v>188</v>
      </c>
      <c r="I48" s="158"/>
      <c r="J48" s="158"/>
      <c r="K48" s="158"/>
      <c r="L48" s="222"/>
      <c r="M48" s="741" t="s">
        <v>193</v>
      </c>
      <c r="N48" s="742"/>
      <c r="O48" s="223">
        <v>0.0773</v>
      </c>
      <c r="P48" s="224"/>
      <c r="Q48" s="224"/>
      <c r="R48" s="224"/>
      <c r="S48" s="156"/>
      <c r="T48" s="156"/>
      <c r="U48" s="156"/>
    </row>
    <row r="49" spans="1:21" ht="15" customHeight="1">
      <c r="A49" s="156"/>
      <c r="B49" s="220"/>
      <c r="C49" s="747">
        <v>2017</v>
      </c>
      <c r="D49" s="747"/>
      <c r="E49" s="221">
        <v>6</v>
      </c>
      <c r="F49" s="221" t="s">
        <v>185</v>
      </c>
      <c r="G49" s="221">
        <v>7</v>
      </c>
      <c r="H49" s="216" t="s">
        <v>188</v>
      </c>
      <c r="I49" s="158"/>
      <c r="J49" s="158"/>
      <c r="K49" s="158"/>
      <c r="L49" s="222"/>
      <c r="M49" s="741" t="s">
        <v>194</v>
      </c>
      <c r="N49" s="742"/>
      <c r="O49" s="223">
        <v>0.0618</v>
      </c>
      <c r="P49" s="224"/>
      <c r="Q49" s="224"/>
      <c r="R49" s="224"/>
      <c r="S49" s="156"/>
      <c r="T49" s="156"/>
      <c r="U49" s="156"/>
    </row>
    <row r="50" spans="1:21" ht="15" customHeight="1">
      <c r="A50" s="156"/>
      <c r="B50" s="220"/>
      <c r="C50" s="747">
        <v>2016</v>
      </c>
      <c r="D50" s="747"/>
      <c r="E50" s="221">
        <v>7</v>
      </c>
      <c r="F50" s="221" t="s">
        <v>185</v>
      </c>
      <c r="G50" s="221">
        <v>8</v>
      </c>
      <c r="H50" s="216" t="s">
        <v>188</v>
      </c>
      <c r="I50" s="158"/>
      <c r="J50" s="158"/>
      <c r="K50" s="158"/>
      <c r="L50" s="222"/>
      <c r="M50" s="741" t="s">
        <v>195</v>
      </c>
      <c r="N50" s="742"/>
      <c r="O50" s="223">
        <v>0.0464</v>
      </c>
      <c r="P50" s="224"/>
      <c r="Q50" s="224"/>
      <c r="R50" s="224"/>
      <c r="S50" s="156"/>
      <c r="T50" s="156"/>
      <c r="U50" s="156"/>
    </row>
    <row r="51" spans="1:21" ht="15" customHeight="1">
      <c r="A51" s="156"/>
      <c r="B51" s="220"/>
      <c r="C51" s="747">
        <v>2015</v>
      </c>
      <c r="D51" s="747"/>
      <c r="E51" s="221">
        <v>8</v>
      </c>
      <c r="F51" s="221" t="s">
        <v>185</v>
      </c>
      <c r="G51" s="221">
        <v>9</v>
      </c>
      <c r="H51" s="216" t="s">
        <v>188</v>
      </c>
      <c r="I51" s="158"/>
      <c r="J51" s="158"/>
      <c r="K51" s="158"/>
      <c r="L51" s="222"/>
      <c r="M51" s="741" t="s">
        <v>196</v>
      </c>
      <c r="N51" s="742"/>
      <c r="O51" s="223">
        <v>0.0309</v>
      </c>
      <c r="P51" s="224"/>
      <c r="Q51" s="224"/>
      <c r="R51" s="224"/>
      <c r="S51" s="156"/>
      <c r="T51" s="156"/>
      <c r="U51" s="156"/>
    </row>
    <row r="52" spans="1:21" ht="15" customHeight="1">
      <c r="A52" s="156"/>
      <c r="B52" s="220"/>
      <c r="C52" s="747">
        <v>2014</v>
      </c>
      <c r="D52" s="747"/>
      <c r="E52" s="221">
        <v>9</v>
      </c>
      <c r="F52" s="221" t="s">
        <v>185</v>
      </c>
      <c r="G52" s="221">
        <v>10</v>
      </c>
      <c r="H52" s="216" t="s">
        <v>188</v>
      </c>
      <c r="I52" s="158"/>
      <c r="J52" s="158"/>
      <c r="K52" s="158"/>
      <c r="L52" s="222"/>
      <c r="M52" s="741" t="s">
        <v>197</v>
      </c>
      <c r="N52" s="742"/>
      <c r="O52" s="223">
        <v>0.0155</v>
      </c>
      <c r="P52" s="224"/>
      <c r="Q52" s="224"/>
      <c r="R52" s="224"/>
      <c r="S52" s="156"/>
      <c r="T52" s="156"/>
      <c r="U52" s="156"/>
    </row>
    <row r="53" spans="1:21" ht="15" customHeight="1">
      <c r="A53" s="156"/>
      <c r="B53" s="220"/>
      <c r="C53" s="747">
        <v>2013</v>
      </c>
      <c r="D53" s="747"/>
      <c r="E53" s="221">
        <v>10</v>
      </c>
      <c r="F53" s="221" t="s">
        <v>185</v>
      </c>
      <c r="G53" s="221">
        <v>11</v>
      </c>
      <c r="H53" s="216" t="s">
        <v>188</v>
      </c>
      <c r="I53" s="158"/>
      <c r="J53" s="158"/>
      <c r="K53" s="158"/>
      <c r="L53" s="222"/>
      <c r="M53" s="741" t="s">
        <v>198</v>
      </c>
      <c r="N53" s="742"/>
      <c r="O53" s="223">
        <v>0</v>
      </c>
      <c r="P53" s="224"/>
      <c r="Q53" s="224"/>
      <c r="R53" s="224"/>
      <c r="S53" s="156"/>
      <c r="T53" s="156"/>
      <c r="U53" s="156"/>
    </row>
    <row r="54" spans="1:21" ht="24" customHeight="1" thickBot="1">
      <c r="A54" s="156"/>
      <c r="B54" s="220"/>
      <c r="C54" s="225"/>
      <c r="D54" s="226"/>
      <c r="E54" s="226"/>
      <c r="F54" s="226"/>
      <c r="G54" s="226"/>
      <c r="H54" s="226"/>
      <c r="I54" s="176"/>
      <c r="J54" s="176"/>
      <c r="K54" s="176"/>
      <c r="L54" s="176"/>
      <c r="M54" s="176"/>
      <c r="N54" s="176"/>
      <c r="O54" s="177"/>
      <c r="P54" s="224"/>
      <c r="Q54" s="224"/>
      <c r="R54" s="224"/>
      <c r="S54" s="156"/>
      <c r="T54" s="156"/>
      <c r="U54" s="156"/>
    </row>
    <row r="55" spans="1:21" ht="24" customHeight="1" thickBot="1">
      <c r="A55" s="156"/>
      <c r="B55" s="220"/>
      <c r="C55" s="157"/>
      <c r="D55" s="227" t="s">
        <v>33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86"/>
      <c r="P55" s="224"/>
      <c r="Q55" s="224"/>
      <c r="R55" s="224"/>
      <c r="S55" s="156"/>
      <c r="T55" s="156"/>
      <c r="U55" s="156"/>
    </row>
    <row r="56" spans="1:21" ht="24" customHeight="1" thickBot="1">
      <c r="A56" s="156"/>
      <c r="B56" s="220"/>
      <c r="C56" s="205" t="s">
        <v>199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28"/>
      <c r="P56" s="224"/>
      <c r="Q56" s="224"/>
      <c r="R56" s="224"/>
      <c r="S56" s="156"/>
      <c r="T56" s="156"/>
      <c r="U56" s="156"/>
    </row>
    <row r="57" spans="1:21" ht="24" customHeight="1">
      <c r="A57" s="156"/>
      <c r="B57" s="220"/>
      <c r="C57" s="229"/>
      <c r="D57" s="230"/>
      <c r="E57" s="230"/>
      <c r="F57" s="230"/>
      <c r="G57" s="230"/>
      <c r="H57" s="230"/>
      <c r="I57" s="230"/>
      <c r="J57" s="230"/>
      <c r="K57" s="211"/>
      <c r="L57" s="212" t="s">
        <v>183</v>
      </c>
      <c r="M57" s="230"/>
      <c r="N57" s="231"/>
      <c r="O57" s="232"/>
      <c r="P57" s="224"/>
      <c r="Q57" s="224"/>
      <c r="R57" s="224"/>
      <c r="S57" s="156"/>
      <c r="T57" s="156"/>
      <c r="U57" s="156"/>
    </row>
    <row r="58" spans="1:21" ht="24" customHeight="1">
      <c r="A58" s="156"/>
      <c r="B58" s="220"/>
      <c r="C58" s="215" t="s">
        <v>26</v>
      </c>
      <c r="D58" s="216"/>
      <c r="E58" s="216"/>
      <c r="F58" s="216" t="s">
        <v>27</v>
      </c>
      <c r="G58" s="216"/>
      <c r="H58" s="216"/>
      <c r="I58" s="233"/>
      <c r="J58" s="158"/>
      <c r="K58" s="158"/>
      <c r="L58" s="234" t="s">
        <v>184</v>
      </c>
      <c r="M58" s="234"/>
      <c r="N58" s="235"/>
      <c r="O58" s="236"/>
      <c r="P58" s="224"/>
      <c r="Q58" s="224"/>
      <c r="R58" s="224"/>
      <c r="S58" s="156"/>
      <c r="T58" s="156"/>
      <c r="U58" s="156"/>
    </row>
    <row r="59" spans="1:21" ht="24" customHeight="1">
      <c r="A59" s="156"/>
      <c r="B59" s="204"/>
      <c r="C59" s="215"/>
      <c r="D59" s="221">
        <v>2023</v>
      </c>
      <c r="E59" s="221"/>
      <c r="F59" s="221">
        <v>0</v>
      </c>
      <c r="G59" s="221" t="s">
        <v>185</v>
      </c>
      <c r="H59" s="221">
        <v>1</v>
      </c>
      <c r="I59" s="216" t="s">
        <v>186</v>
      </c>
      <c r="J59" s="237"/>
      <c r="K59" s="158"/>
      <c r="L59" s="743" t="s">
        <v>200</v>
      </c>
      <c r="M59" s="743"/>
      <c r="N59" s="238"/>
      <c r="O59" s="239">
        <v>0.12</v>
      </c>
      <c r="P59" s="224"/>
      <c r="Q59" s="224"/>
      <c r="R59" s="224"/>
      <c r="S59" s="156"/>
      <c r="T59" s="156"/>
      <c r="U59" s="156"/>
    </row>
    <row r="60" spans="1:21" ht="24" customHeight="1">
      <c r="A60" s="156"/>
      <c r="B60" s="204"/>
      <c r="C60" s="215"/>
      <c r="D60" s="221">
        <v>2022</v>
      </c>
      <c r="E60" s="221"/>
      <c r="F60" s="221">
        <v>1</v>
      </c>
      <c r="G60" s="221" t="s">
        <v>185</v>
      </c>
      <c r="H60" s="221">
        <v>2</v>
      </c>
      <c r="I60" s="216" t="s">
        <v>188</v>
      </c>
      <c r="J60" s="237"/>
      <c r="K60" s="158"/>
      <c r="L60" s="743" t="s">
        <v>201</v>
      </c>
      <c r="M60" s="743"/>
      <c r="N60" s="238"/>
      <c r="O60" s="239">
        <v>0.1015</v>
      </c>
      <c r="P60" s="224"/>
      <c r="Q60" s="224"/>
      <c r="R60" s="224"/>
      <c r="S60" s="156"/>
      <c r="T60" s="156"/>
      <c r="U60" s="156"/>
    </row>
    <row r="61" spans="1:21" ht="24" customHeight="1">
      <c r="A61" s="156"/>
      <c r="B61" s="204"/>
      <c r="C61" s="215"/>
      <c r="D61" s="221">
        <v>2021</v>
      </c>
      <c r="E61" s="221"/>
      <c r="F61" s="221">
        <v>2</v>
      </c>
      <c r="G61" s="221" t="s">
        <v>185</v>
      </c>
      <c r="H61" s="221">
        <v>3</v>
      </c>
      <c r="I61" s="216" t="s">
        <v>188</v>
      </c>
      <c r="J61" s="237"/>
      <c r="K61" s="158"/>
      <c r="L61" s="743" t="s">
        <v>202</v>
      </c>
      <c r="M61" s="743"/>
      <c r="N61" s="238"/>
      <c r="O61" s="239">
        <v>0.0848</v>
      </c>
      <c r="P61" s="224"/>
      <c r="Q61" s="224"/>
      <c r="R61" s="224"/>
      <c r="S61" s="156"/>
      <c r="T61" s="156"/>
      <c r="U61" s="156"/>
    </row>
    <row r="62" spans="1:21" ht="24" customHeight="1">
      <c r="A62" s="156"/>
      <c r="B62" s="204"/>
      <c r="C62" s="215"/>
      <c r="D62" s="221">
        <v>2020</v>
      </c>
      <c r="E62" s="221"/>
      <c r="F62" s="221">
        <v>3</v>
      </c>
      <c r="G62" s="221" t="s">
        <v>185</v>
      </c>
      <c r="H62" s="221">
        <v>4</v>
      </c>
      <c r="I62" s="216" t="s">
        <v>188</v>
      </c>
      <c r="J62" s="237"/>
      <c r="K62" s="158"/>
      <c r="L62" s="743" t="s">
        <v>203</v>
      </c>
      <c r="M62" s="743"/>
      <c r="N62" s="238"/>
      <c r="O62" s="239">
        <v>0.0699</v>
      </c>
      <c r="P62" s="224"/>
      <c r="Q62" s="224"/>
      <c r="R62" s="224"/>
      <c r="S62" s="156"/>
      <c r="T62" s="156"/>
      <c r="U62" s="156"/>
    </row>
    <row r="63" spans="1:21" ht="24" customHeight="1">
      <c r="A63" s="156"/>
      <c r="B63" s="204"/>
      <c r="C63" s="215"/>
      <c r="D63" s="221">
        <v>2019</v>
      </c>
      <c r="E63" s="221"/>
      <c r="F63" s="221">
        <v>4</v>
      </c>
      <c r="G63" s="221" t="s">
        <v>185</v>
      </c>
      <c r="H63" s="221">
        <v>5</v>
      </c>
      <c r="I63" s="216" t="s">
        <v>188</v>
      </c>
      <c r="J63" s="237"/>
      <c r="K63" s="158"/>
      <c r="L63" s="743" t="s">
        <v>204</v>
      </c>
      <c r="M63" s="743"/>
      <c r="N63" s="238"/>
      <c r="O63" s="239">
        <v>0.0569</v>
      </c>
      <c r="P63" s="224"/>
      <c r="Q63" s="224"/>
      <c r="R63" s="224"/>
      <c r="S63" s="156"/>
      <c r="T63" s="156"/>
      <c r="U63" s="156"/>
    </row>
    <row r="64" spans="1:21" ht="24" customHeight="1">
      <c r="A64" s="156"/>
      <c r="B64" s="204"/>
      <c r="C64" s="215"/>
      <c r="D64" s="221">
        <v>2018</v>
      </c>
      <c r="E64" s="221"/>
      <c r="F64" s="221">
        <v>5</v>
      </c>
      <c r="G64" s="221" t="s">
        <v>185</v>
      </c>
      <c r="H64" s="221">
        <v>6</v>
      </c>
      <c r="I64" s="216" t="s">
        <v>188</v>
      </c>
      <c r="J64" s="237"/>
      <c r="K64" s="158"/>
      <c r="L64" s="743" t="s">
        <v>205</v>
      </c>
      <c r="M64" s="743"/>
      <c r="N64" s="238"/>
      <c r="O64" s="239">
        <v>0.0458</v>
      </c>
      <c r="P64" s="224"/>
      <c r="Q64" s="224"/>
      <c r="R64" s="224"/>
      <c r="S64" s="156"/>
      <c r="T64" s="156"/>
      <c r="U64" s="156"/>
    </row>
    <row r="65" spans="1:21" ht="24" customHeight="1">
      <c r="A65" s="156"/>
      <c r="B65" s="204"/>
      <c r="C65" s="215"/>
      <c r="D65" s="221">
        <v>2017</v>
      </c>
      <c r="E65" s="221"/>
      <c r="F65" s="221">
        <v>6</v>
      </c>
      <c r="G65" s="221" t="s">
        <v>185</v>
      </c>
      <c r="H65" s="221">
        <v>7</v>
      </c>
      <c r="I65" s="216" t="s">
        <v>188</v>
      </c>
      <c r="J65" s="237"/>
      <c r="K65" s="158"/>
      <c r="L65" s="743" t="s">
        <v>206</v>
      </c>
      <c r="M65" s="743"/>
      <c r="N65" s="238"/>
      <c r="O65" s="239">
        <v>0.0365</v>
      </c>
      <c r="P65" s="224"/>
      <c r="Q65" s="224"/>
      <c r="R65" s="224"/>
      <c r="S65" s="156"/>
      <c r="T65" s="156"/>
      <c r="U65" s="156"/>
    </row>
    <row r="66" spans="1:21" ht="24" customHeight="1">
      <c r="A66" s="156"/>
      <c r="B66" s="204"/>
      <c r="C66" s="215"/>
      <c r="D66" s="221">
        <v>2016</v>
      </c>
      <c r="E66" s="221"/>
      <c r="F66" s="221">
        <v>7</v>
      </c>
      <c r="G66" s="221" t="s">
        <v>185</v>
      </c>
      <c r="H66" s="221">
        <v>8</v>
      </c>
      <c r="I66" s="216" t="s">
        <v>188</v>
      </c>
      <c r="J66" s="237"/>
      <c r="K66" s="158"/>
      <c r="L66" s="748" t="s">
        <v>207</v>
      </c>
      <c r="M66" s="748"/>
      <c r="N66" s="238"/>
      <c r="O66" s="239">
        <v>0.0291</v>
      </c>
      <c r="P66" s="224"/>
      <c r="Q66" s="224"/>
      <c r="R66" s="224"/>
      <c r="S66" s="156"/>
      <c r="T66" s="156"/>
      <c r="U66" s="156"/>
    </row>
    <row r="67" spans="1:21" ht="24" customHeight="1">
      <c r="A67" s="156"/>
      <c r="B67" s="204"/>
      <c r="C67" s="215"/>
      <c r="D67" s="221">
        <v>2015</v>
      </c>
      <c r="E67" s="221"/>
      <c r="F67" s="221">
        <v>8</v>
      </c>
      <c r="G67" s="221" t="s">
        <v>185</v>
      </c>
      <c r="H67" s="221">
        <v>9</v>
      </c>
      <c r="I67" s="216" t="s">
        <v>188</v>
      </c>
      <c r="J67" s="237"/>
      <c r="K67" s="158"/>
      <c r="L67" s="743" t="s">
        <v>208</v>
      </c>
      <c r="M67" s="743"/>
      <c r="N67" s="238"/>
      <c r="O67" s="239">
        <v>0.0236</v>
      </c>
      <c r="P67" s="224"/>
      <c r="Q67" s="224"/>
      <c r="R67" s="224"/>
      <c r="S67" s="156"/>
      <c r="T67" s="156"/>
      <c r="U67" s="156"/>
    </row>
    <row r="68" spans="1:21" ht="24" customHeight="1">
      <c r="A68" s="156"/>
      <c r="B68" s="204"/>
      <c r="C68" s="215"/>
      <c r="D68" s="221">
        <v>2014</v>
      </c>
      <c r="E68" s="221"/>
      <c r="F68" s="221">
        <v>9</v>
      </c>
      <c r="G68" s="221" t="s">
        <v>185</v>
      </c>
      <c r="H68" s="221">
        <v>10</v>
      </c>
      <c r="I68" s="216" t="s">
        <v>188</v>
      </c>
      <c r="J68" s="237"/>
      <c r="K68" s="158"/>
      <c r="L68" s="743" t="s">
        <v>209</v>
      </c>
      <c r="M68" s="743"/>
      <c r="N68" s="238"/>
      <c r="O68" s="239">
        <v>0.0199</v>
      </c>
      <c r="P68" s="224"/>
      <c r="Q68" s="224"/>
      <c r="R68" s="224"/>
      <c r="S68" s="156"/>
      <c r="T68" s="156"/>
      <c r="U68" s="156"/>
    </row>
    <row r="69" spans="1:21" ht="24" customHeight="1">
      <c r="A69" s="156"/>
      <c r="B69" s="204"/>
      <c r="C69" s="215"/>
      <c r="D69" s="221">
        <v>2013</v>
      </c>
      <c r="E69" s="221"/>
      <c r="F69" s="221">
        <v>10</v>
      </c>
      <c r="G69" s="221" t="s">
        <v>185</v>
      </c>
      <c r="H69" s="221">
        <v>11</v>
      </c>
      <c r="I69" s="216" t="s">
        <v>188</v>
      </c>
      <c r="J69" s="237"/>
      <c r="K69" s="158"/>
      <c r="L69" s="743" t="s">
        <v>210</v>
      </c>
      <c r="M69" s="743"/>
      <c r="N69" s="238"/>
      <c r="O69" s="239">
        <v>0.018</v>
      </c>
      <c r="P69" s="224"/>
      <c r="Q69" s="224"/>
      <c r="R69" s="224"/>
      <c r="S69" s="156"/>
      <c r="T69" s="156"/>
      <c r="U69" s="156"/>
    </row>
    <row r="70" spans="1:21" ht="24" customHeight="1" thickBot="1">
      <c r="A70" s="156"/>
      <c r="B70" s="204"/>
      <c r="C70" s="190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8"/>
      <c r="O70" s="186"/>
      <c r="P70" s="224"/>
      <c r="Q70" s="224"/>
      <c r="R70" s="224"/>
      <c r="S70" s="156"/>
      <c r="T70" s="156"/>
      <c r="U70" s="156"/>
    </row>
    <row r="71" spans="1:21" ht="24" customHeight="1" thickBot="1">
      <c r="A71" s="156"/>
      <c r="B71" s="204"/>
      <c r="C71" s="240" t="s">
        <v>138</v>
      </c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28"/>
      <c r="P71" s="224"/>
      <c r="Q71" s="224"/>
      <c r="R71" s="224"/>
      <c r="S71" s="156"/>
      <c r="T71" s="156"/>
      <c r="U71" s="156"/>
    </row>
    <row r="72" spans="1:21" ht="15" customHeight="1">
      <c r="A72" s="156"/>
      <c r="B72" s="204"/>
      <c r="C72" s="749" t="s">
        <v>211</v>
      </c>
      <c r="D72" s="749"/>
      <c r="E72" s="749"/>
      <c r="F72" s="749"/>
      <c r="G72" s="749"/>
      <c r="H72" s="749"/>
      <c r="I72" s="157"/>
      <c r="J72" s="157"/>
      <c r="K72" s="157"/>
      <c r="L72" s="157"/>
      <c r="M72" s="157"/>
      <c r="N72" s="157"/>
      <c r="O72" s="241">
        <f>'Custos '!N86</f>
        <v>0</v>
      </c>
      <c r="P72" s="224"/>
      <c r="Q72" s="224"/>
      <c r="R72" s="224"/>
      <c r="S72" s="156"/>
      <c r="T72" s="156"/>
      <c r="U72" s="156"/>
    </row>
    <row r="73" spans="1:21" ht="15" customHeight="1">
      <c r="A73" s="156"/>
      <c r="B73" s="204"/>
      <c r="C73" s="749" t="s">
        <v>106</v>
      </c>
      <c r="D73" s="749"/>
      <c r="E73" s="749"/>
      <c r="F73" s="749"/>
      <c r="G73" s="749"/>
      <c r="H73" s="749"/>
      <c r="I73" s="157"/>
      <c r="J73" s="157"/>
      <c r="K73" s="157"/>
      <c r="L73" s="157"/>
      <c r="M73" s="157"/>
      <c r="N73" s="157"/>
      <c r="O73" s="185">
        <v>246.23</v>
      </c>
      <c r="P73" s="224"/>
      <c r="Q73" s="224"/>
      <c r="R73" s="224"/>
      <c r="S73" s="156"/>
      <c r="T73" s="156"/>
      <c r="U73" s="156"/>
    </row>
    <row r="74" spans="1:21" ht="15" customHeight="1">
      <c r="A74" s="156"/>
      <c r="B74" s="204"/>
      <c r="C74" s="749" t="s">
        <v>107</v>
      </c>
      <c r="D74" s="749"/>
      <c r="E74" s="749"/>
      <c r="F74" s="749"/>
      <c r="G74" s="749"/>
      <c r="H74" s="749"/>
      <c r="I74" s="157"/>
      <c r="J74" s="157"/>
      <c r="K74" s="157"/>
      <c r="L74" s="157"/>
      <c r="M74" s="157"/>
      <c r="N74" s="157"/>
      <c r="O74" s="185">
        <v>33.66</v>
      </c>
      <c r="P74" s="224"/>
      <c r="Q74" s="224"/>
      <c r="R74" s="224"/>
      <c r="S74" s="156"/>
      <c r="T74" s="156"/>
      <c r="U74" s="156"/>
    </row>
    <row r="75" spans="1:21" ht="15">
      <c r="A75" s="156"/>
      <c r="B75" s="204"/>
      <c r="C75" s="749" t="s">
        <v>108</v>
      </c>
      <c r="D75" s="749"/>
      <c r="E75" s="749"/>
      <c r="F75" s="749"/>
      <c r="G75" s="749"/>
      <c r="H75" s="749"/>
      <c r="I75" s="157"/>
      <c r="J75" s="157"/>
      <c r="K75" s="157"/>
      <c r="L75" s="157"/>
      <c r="M75" s="157"/>
      <c r="N75" s="157"/>
      <c r="O75" s="242">
        <v>456.67</v>
      </c>
      <c r="P75" s="224"/>
      <c r="Q75" s="224"/>
      <c r="R75" s="156"/>
      <c r="S75" s="156"/>
      <c r="T75" s="156"/>
      <c r="U75" s="156"/>
    </row>
    <row r="76" spans="1:26" ht="15" customHeight="1" thickBot="1">
      <c r="A76" s="156"/>
      <c r="B76" s="204"/>
      <c r="C76" s="750" t="s">
        <v>109</v>
      </c>
      <c r="D76" s="750"/>
      <c r="E76" s="750"/>
      <c r="F76" s="750"/>
      <c r="G76" s="750"/>
      <c r="H76" s="750"/>
      <c r="I76" s="176"/>
      <c r="J76" s="176"/>
      <c r="K76" s="176"/>
      <c r="L76" s="176"/>
      <c r="M76" s="176"/>
      <c r="N76" s="243"/>
      <c r="O76" s="244">
        <f>SUM(O72:O75)</f>
        <v>736.56</v>
      </c>
      <c r="P76" s="224"/>
      <c r="Q76" s="224"/>
      <c r="R76" s="156"/>
      <c r="S76" s="156"/>
      <c r="T76" s="156"/>
      <c r="U76" s="156"/>
      <c r="X76" s="203"/>
      <c r="Y76" s="203"/>
      <c r="Z76" s="203"/>
    </row>
    <row r="77" spans="1:21" ht="15.75" thickBot="1">
      <c r="A77" s="156"/>
      <c r="B77" s="163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86"/>
      <c r="P77" s="224"/>
      <c r="Q77" s="224"/>
      <c r="R77" s="156"/>
      <c r="S77" s="156"/>
      <c r="T77" s="156"/>
      <c r="U77" s="245"/>
    </row>
    <row r="78" spans="1:21" ht="24" customHeight="1" thickBot="1">
      <c r="A78" s="156"/>
      <c r="B78" s="163"/>
      <c r="C78" s="751" t="s">
        <v>35</v>
      </c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156"/>
      <c r="Q78" s="156"/>
      <c r="R78" s="246"/>
      <c r="S78" s="246"/>
      <c r="T78" s="246"/>
      <c r="U78" s="246"/>
    </row>
    <row r="79" spans="1:21" ht="24" customHeight="1" thickBot="1">
      <c r="A79" s="156"/>
      <c r="B79" s="163"/>
      <c r="C79" s="247"/>
      <c r="D79" s="248" t="s">
        <v>49</v>
      </c>
      <c r="E79" s="249"/>
      <c r="F79" s="206"/>
      <c r="G79" s="206"/>
      <c r="H79" s="206"/>
      <c r="I79" s="206"/>
      <c r="J79" s="206"/>
      <c r="K79" s="206"/>
      <c r="L79" s="206"/>
      <c r="M79" s="206"/>
      <c r="N79" s="250"/>
      <c r="O79" s="251"/>
      <c r="P79" s="157"/>
      <c r="Q79" s="156"/>
      <c r="R79" s="252"/>
      <c r="S79" s="252"/>
      <c r="T79" s="252"/>
      <c r="U79" s="253"/>
    </row>
    <row r="80" spans="1:21" ht="24" customHeight="1">
      <c r="A80" s="156"/>
      <c r="B80" s="163"/>
      <c r="C80" s="201"/>
      <c r="D80" s="154"/>
      <c r="E80" s="752" t="s">
        <v>51</v>
      </c>
      <c r="F80" s="752"/>
      <c r="G80" s="752"/>
      <c r="H80" s="752"/>
      <c r="I80" s="154"/>
      <c r="J80" s="211"/>
      <c r="K80" s="254"/>
      <c r="L80" s="254"/>
      <c r="M80" s="211"/>
      <c r="N80" s="255"/>
      <c r="O80" s="256">
        <v>0</v>
      </c>
      <c r="P80" s="157"/>
      <c r="Q80" s="156"/>
      <c r="R80" s="257"/>
      <c r="S80" s="156"/>
      <c r="T80" s="253"/>
      <c r="U80" s="253"/>
    </row>
    <row r="81" spans="1:21" ht="24" customHeight="1">
      <c r="A81" s="156"/>
      <c r="B81" s="163"/>
      <c r="C81" s="163"/>
      <c r="D81" s="157"/>
      <c r="E81" s="753" t="s">
        <v>53</v>
      </c>
      <c r="F81" s="753"/>
      <c r="G81" s="753"/>
      <c r="H81" s="753"/>
      <c r="I81" s="157"/>
      <c r="J81" s="158"/>
      <c r="K81" s="258"/>
      <c r="L81" s="258"/>
      <c r="M81" s="158"/>
      <c r="N81" s="259"/>
      <c r="O81" s="260">
        <v>0</v>
      </c>
      <c r="P81" s="246"/>
      <c r="Q81" s="246"/>
      <c r="R81" s="257"/>
      <c r="S81" s="156"/>
      <c r="T81" s="253"/>
      <c r="U81" s="253"/>
    </row>
    <row r="82" spans="1:21" ht="24" customHeight="1">
      <c r="A82" s="156"/>
      <c r="B82" s="163"/>
      <c r="C82" s="163"/>
      <c r="D82" s="157"/>
      <c r="E82" s="753" t="s">
        <v>55</v>
      </c>
      <c r="F82" s="753"/>
      <c r="G82" s="753"/>
      <c r="H82" s="753"/>
      <c r="I82" s="157"/>
      <c r="J82" s="158"/>
      <c r="K82" s="258"/>
      <c r="L82" s="258"/>
      <c r="M82" s="158"/>
      <c r="N82" s="259"/>
      <c r="O82" s="260">
        <v>0</v>
      </c>
      <c r="P82" s="252"/>
      <c r="Q82" s="252"/>
      <c r="R82" s="257"/>
      <c r="S82" s="156"/>
      <c r="T82" s="253"/>
      <c r="U82" s="253"/>
    </row>
    <row r="83" spans="1:21" ht="24" customHeight="1">
      <c r="A83" s="156"/>
      <c r="B83" s="163"/>
      <c r="C83" s="163"/>
      <c r="D83" s="157"/>
      <c r="E83" s="753" t="s">
        <v>56</v>
      </c>
      <c r="F83" s="753"/>
      <c r="G83" s="753"/>
      <c r="H83" s="753"/>
      <c r="I83" s="157"/>
      <c r="J83" s="158"/>
      <c r="K83" s="258"/>
      <c r="L83" s="258"/>
      <c r="M83" s="158"/>
      <c r="N83" s="259"/>
      <c r="O83" s="260">
        <v>0</v>
      </c>
      <c r="P83" s="257"/>
      <c r="Q83" s="257"/>
      <c r="R83" s="257"/>
      <c r="S83" s="156"/>
      <c r="T83" s="253"/>
      <c r="U83" s="253"/>
    </row>
    <row r="84" spans="1:21" ht="24" customHeight="1">
      <c r="A84" s="156"/>
      <c r="B84" s="163"/>
      <c r="C84" s="163"/>
      <c r="D84" s="157"/>
      <c r="E84" s="753" t="s">
        <v>58</v>
      </c>
      <c r="F84" s="753"/>
      <c r="G84" s="753"/>
      <c r="H84" s="753"/>
      <c r="I84" s="157"/>
      <c r="J84" s="158"/>
      <c r="K84" s="258"/>
      <c r="L84" s="258"/>
      <c r="M84" s="158"/>
      <c r="N84" s="259"/>
      <c r="O84" s="260">
        <v>0</v>
      </c>
      <c r="P84" s="257"/>
      <c r="Q84" s="257"/>
      <c r="R84" s="257"/>
      <c r="S84" s="156"/>
      <c r="T84" s="253"/>
      <c r="U84" s="253"/>
    </row>
    <row r="85" spans="1:21" ht="24" customHeight="1">
      <c r="A85" s="156"/>
      <c r="B85" s="163"/>
      <c r="C85" s="163"/>
      <c r="D85" s="157"/>
      <c r="E85" s="753" t="s">
        <v>60</v>
      </c>
      <c r="F85" s="753"/>
      <c r="G85" s="753"/>
      <c r="H85" s="753"/>
      <c r="I85" s="157"/>
      <c r="J85" s="157"/>
      <c r="K85" s="261"/>
      <c r="L85" s="261"/>
      <c r="M85" s="158"/>
      <c r="N85" s="259"/>
      <c r="O85" s="262">
        <v>0.08</v>
      </c>
      <c r="P85" s="257"/>
      <c r="Q85" s="257"/>
      <c r="R85" s="257"/>
      <c r="S85" s="156"/>
      <c r="T85" s="253"/>
      <c r="U85" s="253"/>
    </row>
    <row r="86" spans="1:21" ht="24" customHeight="1">
      <c r="A86" s="156"/>
      <c r="B86" s="163"/>
      <c r="C86" s="163"/>
      <c r="D86" s="157"/>
      <c r="E86" s="753" t="s">
        <v>62</v>
      </c>
      <c r="F86" s="753"/>
      <c r="G86" s="753"/>
      <c r="H86" s="753"/>
      <c r="I86" s="157"/>
      <c r="J86" s="158"/>
      <c r="K86" s="258"/>
      <c r="L86" s="258"/>
      <c r="M86" s="158"/>
      <c r="N86" s="259"/>
      <c r="O86" s="260">
        <v>0</v>
      </c>
      <c r="P86" s="257"/>
      <c r="Q86" s="257"/>
      <c r="R86" s="257"/>
      <c r="S86" s="156"/>
      <c r="T86" s="253"/>
      <c r="U86" s="253"/>
    </row>
    <row r="87" spans="1:21" ht="24" customHeight="1">
      <c r="A87" s="156"/>
      <c r="B87" s="163"/>
      <c r="C87" s="163"/>
      <c r="D87" s="157"/>
      <c r="E87" s="753" t="s">
        <v>64</v>
      </c>
      <c r="F87" s="753"/>
      <c r="G87" s="753"/>
      <c r="H87" s="753"/>
      <c r="I87" s="157"/>
      <c r="J87" s="157"/>
      <c r="K87" s="258"/>
      <c r="L87" s="258"/>
      <c r="M87" s="158"/>
      <c r="N87" s="259"/>
      <c r="O87" s="260">
        <v>0</v>
      </c>
      <c r="P87" s="257"/>
      <c r="Q87" s="257"/>
      <c r="R87" s="257"/>
      <c r="S87" s="156"/>
      <c r="T87" s="253"/>
      <c r="U87" s="253"/>
    </row>
    <row r="88" spans="1:21" ht="24.75" customHeight="1">
      <c r="A88" s="156"/>
      <c r="B88" s="163"/>
      <c r="C88" s="163"/>
      <c r="D88" s="157"/>
      <c r="E88" s="754" t="s">
        <v>66</v>
      </c>
      <c r="F88" s="754"/>
      <c r="G88" s="754"/>
      <c r="H88" s="754"/>
      <c r="I88" s="157"/>
      <c r="J88" s="158"/>
      <c r="K88" s="264"/>
      <c r="L88" s="264"/>
      <c r="M88" s="158"/>
      <c r="N88" s="265"/>
      <c r="O88" s="266">
        <f>SUM(J80:O87)</f>
        <v>0.08</v>
      </c>
      <c r="P88" s="257"/>
      <c r="Q88" s="257"/>
      <c r="R88" s="257"/>
      <c r="S88" s="156"/>
      <c r="T88" s="253"/>
      <c r="U88" s="253"/>
    </row>
    <row r="89" spans="1:21" ht="24.75" customHeight="1" thickBot="1">
      <c r="A89" s="156"/>
      <c r="B89" s="163"/>
      <c r="C89" s="190"/>
      <c r="D89" s="176"/>
      <c r="E89" s="267"/>
      <c r="F89" s="176"/>
      <c r="G89" s="176"/>
      <c r="H89" s="176"/>
      <c r="I89" s="176"/>
      <c r="J89" s="176"/>
      <c r="K89" s="268"/>
      <c r="L89" s="269"/>
      <c r="M89" s="270"/>
      <c r="N89" s="271"/>
      <c r="O89" s="272"/>
      <c r="P89" s="257"/>
      <c r="Q89" s="257"/>
      <c r="R89" s="257"/>
      <c r="S89" s="156"/>
      <c r="T89" s="253"/>
      <c r="U89" s="253"/>
    </row>
    <row r="90" spans="1:21" ht="15.75" thickBot="1">
      <c r="A90" s="156"/>
      <c r="B90" s="163"/>
      <c r="C90" s="247"/>
      <c r="D90" s="248" t="s">
        <v>68</v>
      </c>
      <c r="E90" s="249"/>
      <c r="F90" s="206"/>
      <c r="G90" s="206"/>
      <c r="H90" s="206"/>
      <c r="I90" s="206"/>
      <c r="J90" s="206"/>
      <c r="K90" s="273"/>
      <c r="L90" s="274"/>
      <c r="M90" s="275"/>
      <c r="N90" s="250"/>
      <c r="O90" s="276"/>
      <c r="P90" s="257"/>
      <c r="Q90" s="257"/>
      <c r="R90" s="257"/>
      <c r="S90" s="156"/>
      <c r="T90" s="253"/>
      <c r="U90" s="253"/>
    </row>
    <row r="91" spans="1:21" ht="15">
      <c r="A91" s="156"/>
      <c r="B91" s="163"/>
      <c r="C91" s="163"/>
      <c r="D91" s="157"/>
      <c r="E91" s="593" t="s">
        <v>70</v>
      </c>
      <c r="F91" s="593"/>
      <c r="G91" s="593"/>
      <c r="H91" s="593"/>
      <c r="I91" s="157"/>
      <c r="J91" s="157"/>
      <c r="K91" s="277"/>
      <c r="L91" s="277"/>
      <c r="M91" s="158"/>
      <c r="N91" s="259"/>
      <c r="O91" s="278">
        <v>0.11111111111111109</v>
      </c>
      <c r="P91" s="257"/>
      <c r="Q91" s="257"/>
      <c r="R91" s="257"/>
      <c r="S91" s="156"/>
      <c r="T91" s="253"/>
      <c r="U91" s="253"/>
    </row>
    <row r="92" spans="1:21" ht="15">
      <c r="A92" s="156"/>
      <c r="B92" s="163"/>
      <c r="C92" s="163"/>
      <c r="D92" s="157"/>
      <c r="E92" s="593" t="s">
        <v>72</v>
      </c>
      <c r="F92" s="593"/>
      <c r="G92" s="593"/>
      <c r="H92" s="593"/>
      <c r="I92" s="157"/>
      <c r="J92" s="157"/>
      <c r="K92" s="279"/>
      <c r="L92" s="279"/>
      <c r="M92" s="158"/>
      <c r="N92" s="259"/>
      <c r="O92" s="280">
        <v>0.0194</v>
      </c>
      <c r="P92" s="257"/>
      <c r="Q92" s="257"/>
      <c r="R92" s="257"/>
      <c r="S92" s="156"/>
      <c r="T92" s="253"/>
      <c r="U92" s="253"/>
    </row>
    <row r="93" spans="1:21" ht="15">
      <c r="A93" s="156"/>
      <c r="B93" s="163"/>
      <c r="C93" s="163"/>
      <c r="D93" s="157"/>
      <c r="E93" s="593" t="s">
        <v>74</v>
      </c>
      <c r="F93" s="593"/>
      <c r="G93" s="593"/>
      <c r="H93" s="593"/>
      <c r="I93" s="157"/>
      <c r="J93" s="157"/>
      <c r="K93" s="279"/>
      <c r="L93" s="279"/>
      <c r="M93" s="158"/>
      <c r="N93" s="259"/>
      <c r="O93" s="280">
        <v>0.0139</v>
      </c>
      <c r="P93" s="257"/>
      <c r="Q93" s="257"/>
      <c r="R93" s="257"/>
      <c r="S93" s="156"/>
      <c r="T93" s="253"/>
      <c r="U93" s="253"/>
    </row>
    <row r="94" spans="1:21" ht="15">
      <c r="A94" s="156"/>
      <c r="B94" s="163"/>
      <c r="C94" s="163"/>
      <c r="D94" s="157"/>
      <c r="E94" s="593" t="s">
        <v>76</v>
      </c>
      <c r="F94" s="593"/>
      <c r="G94" s="593"/>
      <c r="H94" s="593"/>
      <c r="I94" s="157"/>
      <c r="J94" s="157"/>
      <c r="K94" s="279"/>
      <c r="L94" s="279"/>
      <c r="M94" s="158"/>
      <c r="N94" s="259"/>
      <c r="O94" s="280">
        <v>0.0033</v>
      </c>
      <c r="P94" s="257"/>
      <c r="Q94" s="257"/>
      <c r="R94" s="257"/>
      <c r="S94" s="156"/>
      <c r="T94" s="253"/>
      <c r="U94" s="253"/>
    </row>
    <row r="95" spans="1:21" ht="15">
      <c r="A95" s="156"/>
      <c r="B95" s="163"/>
      <c r="C95" s="163"/>
      <c r="D95" s="157"/>
      <c r="E95" s="593" t="s">
        <v>78</v>
      </c>
      <c r="F95" s="593"/>
      <c r="G95" s="593"/>
      <c r="H95" s="593"/>
      <c r="I95" s="157"/>
      <c r="J95" s="157"/>
      <c r="K95" s="279"/>
      <c r="L95" s="279"/>
      <c r="M95" s="158"/>
      <c r="N95" s="259"/>
      <c r="O95" s="280">
        <v>0.0027</v>
      </c>
      <c r="P95" s="257"/>
      <c r="Q95" s="257"/>
      <c r="R95" s="257"/>
      <c r="S95" s="156"/>
      <c r="T95" s="253"/>
      <c r="U95" s="253"/>
    </row>
    <row r="96" spans="1:21" ht="15">
      <c r="A96" s="156"/>
      <c r="B96" s="163"/>
      <c r="C96" s="163"/>
      <c r="D96" s="157"/>
      <c r="E96" s="594" t="s">
        <v>79</v>
      </c>
      <c r="F96" s="594"/>
      <c r="G96" s="594"/>
      <c r="H96" s="594"/>
      <c r="I96" s="157"/>
      <c r="J96" s="157"/>
      <c r="K96" s="281"/>
      <c r="L96" s="281"/>
      <c r="M96" s="158"/>
      <c r="N96" s="259"/>
      <c r="O96" s="280">
        <v>0.0007</v>
      </c>
      <c r="P96" s="257"/>
      <c r="Q96" s="257"/>
      <c r="R96" s="257"/>
      <c r="S96" s="156"/>
      <c r="T96" s="253"/>
      <c r="U96" s="156"/>
    </row>
    <row r="97" spans="1:21" ht="15">
      <c r="A97" s="156"/>
      <c r="B97" s="163"/>
      <c r="C97" s="163"/>
      <c r="D97" s="157"/>
      <c r="E97" s="593" t="s">
        <v>81</v>
      </c>
      <c r="F97" s="593"/>
      <c r="G97" s="593"/>
      <c r="H97" s="593"/>
      <c r="I97" s="157"/>
      <c r="J97" s="157"/>
      <c r="K97" s="279"/>
      <c r="L97" s="279"/>
      <c r="M97" s="158"/>
      <c r="N97" s="259"/>
      <c r="O97" s="280">
        <v>0.0002</v>
      </c>
      <c r="P97" s="257"/>
      <c r="Q97" s="257"/>
      <c r="R97" s="156"/>
      <c r="S97" s="156"/>
      <c r="T97" s="156"/>
      <c r="U97" s="156"/>
    </row>
    <row r="98" spans="1:21" ht="15">
      <c r="A98" s="156"/>
      <c r="B98" s="163"/>
      <c r="C98" s="163"/>
      <c r="D98" s="157"/>
      <c r="E98" s="593" t="s">
        <v>83</v>
      </c>
      <c r="F98" s="593"/>
      <c r="G98" s="593"/>
      <c r="H98" s="593"/>
      <c r="I98" s="157"/>
      <c r="J98" s="157"/>
      <c r="K98" s="277"/>
      <c r="L98" s="277"/>
      <c r="M98" s="158"/>
      <c r="N98" s="259"/>
      <c r="O98" s="282">
        <v>0.0833333333333333</v>
      </c>
      <c r="P98" s="257"/>
      <c r="Q98" s="257"/>
      <c r="R98" s="156"/>
      <c r="S98" s="156"/>
      <c r="T98" s="156"/>
      <c r="U98" s="156"/>
    </row>
    <row r="99" spans="1:21" ht="15">
      <c r="A99" s="156"/>
      <c r="B99" s="163"/>
      <c r="C99" s="163"/>
      <c r="D99" s="157"/>
      <c r="E99" s="263" t="s">
        <v>85</v>
      </c>
      <c r="F99" s="157"/>
      <c r="G99" s="157"/>
      <c r="H99" s="157"/>
      <c r="I99" s="157"/>
      <c r="J99" s="157"/>
      <c r="K99" s="157"/>
      <c r="L99" s="158"/>
      <c r="M99" s="158"/>
      <c r="N99" s="265"/>
      <c r="O99" s="266">
        <f>SUM(J91:O98)</f>
        <v>0.23464444444444438</v>
      </c>
      <c r="P99" s="257"/>
      <c r="Q99" s="257"/>
      <c r="R99" s="156"/>
      <c r="S99" s="156"/>
      <c r="T99" s="156"/>
      <c r="U99" s="156"/>
    </row>
    <row r="100" spans="1:21" ht="15.75" thickBot="1">
      <c r="A100" s="157"/>
      <c r="B100" s="163"/>
      <c r="C100" s="163"/>
      <c r="D100" s="157"/>
      <c r="E100" s="263"/>
      <c r="F100" s="157"/>
      <c r="G100" s="157"/>
      <c r="H100" s="157"/>
      <c r="I100" s="157"/>
      <c r="J100" s="157"/>
      <c r="K100" s="157"/>
      <c r="L100" s="283"/>
      <c r="M100" s="158"/>
      <c r="N100" s="284"/>
      <c r="O100" s="272"/>
      <c r="P100" s="157"/>
      <c r="Q100" s="157"/>
      <c r="R100" s="156"/>
      <c r="S100" s="156"/>
      <c r="T100" s="156"/>
      <c r="U100" s="156"/>
    </row>
    <row r="101" spans="1:21" ht="15.75" thickBot="1">
      <c r="A101" s="156"/>
      <c r="B101" s="163"/>
      <c r="C101" s="247"/>
      <c r="D101" s="248" t="s">
        <v>86</v>
      </c>
      <c r="E101" s="249"/>
      <c r="F101" s="206"/>
      <c r="G101" s="206"/>
      <c r="H101" s="206"/>
      <c r="I101" s="206"/>
      <c r="J101" s="206"/>
      <c r="K101" s="273"/>
      <c r="L101" s="274"/>
      <c r="M101" s="275"/>
      <c r="N101" s="206"/>
      <c r="O101" s="276"/>
      <c r="P101" s="156"/>
      <c r="Q101" s="156"/>
      <c r="R101" s="156"/>
      <c r="S101" s="156"/>
      <c r="T101" s="156"/>
      <c r="U101" s="156"/>
    </row>
    <row r="102" spans="1:21" ht="15">
      <c r="A102" s="156"/>
      <c r="B102" s="163"/>
      <c r="C102" s="163"/>
      <c r="D102" s="194"/>
      <c r="E102" s="593" t="s">
        <v>88</v>
      </c>
      <c r="F102" s="593"/>
      <c r="G102" s="593"/>
      <c r="H102" s="593"/>
      <c r="I102" s="157"/>
      <c r="J102" s="157"/>
      <c r="K102" s="285"/>
      <c r="L102" s="286"/>
      <c r="M102" s="158"/>
      <c r="N102" s="287"/>
      <c r="O102" s="288">
        <v>0.0042</v>
      </c>
      <c r="P102" s="156"/>
      <c r="Q102" s="156"/>
      <c r="R102" s="156"/>
      <c r="S102" s="156"/>
      <c r="T102" s="156"/>
      <c r="U102" s="156"/>
    </row>
    <row r="103" spans="1:21" ht="15">
      <c r="A103" s="156"/>
      <c r="B103" s="163"/>
      <c r="C103" s="163"/>
      <c r="D103" s="194"/>
      <c r="E103" s="593" t="s">
        <v>90</v>
      </c>
      <c r="F103" s="593"/>
      <c r="G103" s="593"/>
      <c r="H103" s="593"/>
      <c r="I103" s="157"/>
      <c r="J103" s="157"/>
      <c r="K103" s="285"/>
      <c r="L103" s="286"/>
      <c r="M103" s="158"/>
      <c r="N103" s="287"/>
      <c r="O103" s="289">
        <v>0.0016</v>
      </c>
      <c r="P103" s="156"/>
      <c r="Q103" s="156"/>
      <c r="R103" s="156"/>
      <c r="S103" s="156"/>
      <c r="T103" s="156"/>
      <c r="U103" s="156"/>
    </row>
    <row r="104" spans="1:21" ht="15">
      <c r="A104" s="156"/>
      <c r="B104" s="163"/>
      <c r="C104" s="163"/>
      <c r="D104" s="194"/>
      <c r="E104" s="593" t="s">
        <v>92</v>
      </c>
      <c r="F104" s="593"/>
      <c r="G104" s="593"/>
      <c r="H104" s="593"/>
      <c r="I104" s="157"/>
      <c r="J104" s="157"/>
      <c r="K104" s="285"/>
      <c r="L104" s="286"/>
      <c r="M104" s="158"/>
      <c r="N104" s="287"/>
      <c r="O104" s="289">
        <v>0.0003</v>
      </c>
      <c r="P104" s="156"/>
      <c r="Q104" s="156"/>
      <c r="R104" s="156"/>
      <c r="S104" s="156"/>
      <c r="T104" s="156"/>
      <c r="U104" s="156"/>
    </row>
    <row r="105" spans="1:21" ht="15">
      <c r="A105" s="156"/>
      <c r="B105" s="163"/>
      <c r="C105" s="163"/>
      <c r="D105" s="194"/>
      <c r="E105" s="593" t="s">
        <v>94</v>
      </c>
      <c r="F105" s="593"/>
      <c r="G105" s="593"/>
      <c r="H105" s="593"/>
      <c r="I105" s="593"/>
      <c r="J105" s="157"/>
      <c r="K105" s="285"/>
      <c r="L105" s="286"/>
      <c r="M105" s="158"/>
      <c r="N105" s="287"/>
      <c r="O105" s="289">
        <v>0.032</v>
      </c>
      <c r="P105" s="156"/>
      <c r="Q105" s="156"/>
      <c r="R105" s="156"/>
      <c r="S105" s="156"/>
      <c r="T105" s="156"/>
      <c r="U105" s="156"/>
    </row>
    <row r="106" spans="1:21" ht="15">
      <c r="A106" s="156"/>
      <c r="B106" s="163"/>
      <c r="C106" s="163"/>
      <c r="D106" s="194"/>
      <c r="E106" s="593" t="s">
        <v>96</v>
      </c>
      <c r="F106" s="593"/>
      <c r="G106" s="593"/>
      <c r="H106" s="593"/>
      <c r="I106" s="593"/>
      <c r="J106" s="157"/>
      <c r="K106" s="285"/>
      <c r="L106" s="286"/>
      <c r="M106" s="158"/>
      <c r="N106" s="287"/>
      <c r="O106" s="289">
        <v>0.0004</v>
      </c>
      <c r="P106" s="156"/>
      <c r="Q106" s="156"/>
      <c r="R106" s="156"/>
      <c r="S106" s="156"/>
      <c r="T106" s="156"/>
      <c r="U106" s="156"/>
    </row>
    <row r="107" spans="1:21" ht="15">
      <c r="A107" s="156"/>
      <c r="B107" s="163"/>
      <c r="C107" s="163"/>
      <c r="D107" s="194"/>
      <c r="E107" s="593" t="s">
        <v>98</v>
      </c>
      <c r="F107" s="593"/>
      <c r="G107" s="593"/>
      <c r="H107" s="593"/>
      <c r="I107" s="593"/>
      <c r="J107" s="593"/>
      <c r="K107" s="593"/>
      <c r="L107" s="286"/>
      <c r="M107" s="158"/>
      <c r="N107" s="287"/>
      <c r="O107" s="289">
        <v>0.0002</v>
      </c>
      <c r="P107" s="156"/>
      <c r="Q107" s="156"/>
      <c r="R107" s="156"/>
      <c r="S107" s="156"/>
      <c r="T107" s="156"/>
      <c r="U107" s="156"/>
    </row>
    <row r="108" spans="1:21" ht="15">
      <c r="A108" s="156"/>
      <c r="B108" s="163"/>
      <c r="C108" s="163"/>
      <c r="D108" s="157"/>
      <c r="E108" s="263" t="s">
        <v>212</v>
      </c>
      <c r="F108" s="157"/>
      <c r="G108" s="157"/>
      <c r="H108" s="157"/>
      <c r="I108" s="157"/>
      <c r="J108" s="157"/>
      <c r="K108" s="157"/>
      <c r="L108" s="158"/>
      <c r="M108" s="158"/>
      <c r="N108" s="290"/>
      <c r="O108" s="266">
        <f>SUM(O102:O107)</f>
        <v>0.0387</v>
      </c>
      <c r="P108" s="259"/>
      <c r="Q108" s="156"/>
      <c r="R108" s="156"/>
      <c r="S108" s="156"/>
      <c r="T108" s="156"/>
      <c r="U108" s="156"/>
    </row>
    <row r="109" spans="1:21" ht="15">
      <c r="A109" s="156"/>
      <c r="B109" s="163"/>
      <c r="C109" s="163"/>
      <c r="D109" s="157"/>
      <c r="E109" s="263"/>
      <c r="F109" s="157"/>
      <c r="G109" s="157"/>
      <c r="H109" s="157"/>
      <c r="I109" s="157"/>
      <c r="J109" s="157"/>
      <c r="K109" s="157"/>
      <c r="L109" s="277"/>
      <c r="M109" s="158"/>
      <c r="N109" s="157"/>
      <c r="O109" s="282"/>
      <c r="P109" s="259"/>
      <c r="Q109" s="156"/>
      <c r="R109" s="156"/>
      <c r="S109" s="156"/>
      <c r="T109" s="156"/>
      <c r="U109" s="156"/>
    </row>
    <row r="110" spans="1:21" ht="15.75" thickBot="1">
      <c r="A110" s="156"/>
      <c r="B110" s="163"/>
      <c r="C110" s="190"/>
      <c r="D110" s="176"/>
      <c r="E110" s="267" t="s">
        <v>103</v>
      </c>
      <c r="F110" s="176"/>
      <c r="G110" s="176"/>
      <c r="H110" s="176"/>
      <c r="I110" s="176"/>
      <c r="J110" s="176"/>
      <c r="K110" s="176"/>
      <c r="L110" s="270"/>
      <c r="M110" s="270"/>
      <c r="N110" s="291"/>
      <c r="O110" s="292">
        <f>SUM(O88,O99,O108)</f>
        <v>0.3533444444444444</v>
      </c>
      <c r="P110" s="259"/>
      <c r="Q110" s="156"/>
      <c r="R110" s="156"/>
      <c r="S110" s="156"/>
      <c r="T110" s="156"/>
      <c r="U110" s="156"/>
    </row>
    <row r="111" spans="1:21" ht="15.75" thickBot="1">
      <c r="A111" s="156"/>
      <c r="B111" s="163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86"/>
      <c r="P111" s="259"/>
      <c r="Q111" s="156"/>
      <c r="R111" s="156"/>
      <c r="S111" s="156"/>
      <c r="T111" s="156"/>
      <c r="U111" s="156"/>
    </row>
    <row r="112" spans="1:21" ht="15.75" thickBot="1">
      <c r="A112" s="156"/>
      <c r="B112" s="163"/>
      <c r="C112" s="755" t="s">
        <v>37</v>
      </c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259"/>
      <c r="Q112" s="156"/>
      <c r="R112" s="156"/>
      <c r="S112" s="156"/>
      <c r="T112" s="156"/>
      <c r="U112" s="156"/>
    </row>
    <row r="113" spans="1:21" ht="15.75" thickBot="1">
      <c r="A113" s="156"/>
      <c r="B113" s="163"/>
      <c r="C113" s="247"/>
      <c r="D113" s="206"/>
      <c r="E113" s="206"/>
      <c r="F113" s="248" t="s">
        <v>49</v>
      </c>
      <c r="G113" s="249"/>
      <c r="H113" s="206"/>
      <c r="I113" s="206"/>
      <c r="J113" s="206"/>
      <c r="K113" s="206"/>
      <c r="L113" s="206"/>
      <c r="M113" s="206"/>
      <c r="N113" s="206"/>
      <c r="O113" s="228"/>
      <c r="P113" s="259"/>
      <c r="Q113" s="156"/>
      <c r="R113" s="156"/>
      <c r="S113" s="156"/>
      <c r="T113" s="156"/>
      <c r="U113" s="156"/>
    </row>
    <row r="114" spans="1:21" ht="15">
      <c r="A114" s="156"/>
      <c r="B114" s="163"/>
      <c r="C114" s="163"/>
      <c r="D114" s="157"/>
      <c r="E114" s="157"/>
      <c r="F114" s="157"/>
      <c r="G114" s="611" t="s">
        <v>51</v>
      </c>
      <c r="H114" s="611"/>
      <c r="I114" s="611"/>
      <c r="J114" s="611"/>
      <c r="K114" s="157"/>
      <c r="L114" s="293"/>
      <c r="M114" s="293"/>
      <c r="N114" s="158"/>
      <c r="O114" s="294">
        <v>0.2</v>
      </c>
      <c r="P114" s="259"/>
      <c r="Q114" s="156"/>
      <c r="R114" s="156"/>
      <c r="S114" s="156"/>
      <c r="T114" s="156"/>
      <c r="U114" s="156"/>
    </row>
    <row r="115" spans="1:21" ht="15">
      <c r="A115" s="156"/>
      <c r="B115" s="163"/>
      <c r="C115" s="163"/>
      <c r="D115" s="157"/>
      <c r="E115" s="157"/>
      <c r="F115" s="157"/>
      <c r="G115" s="611" t="s">
        <v>53</v>
      </c>
      <c r="H115" s="611"/>
      <c r="I115" s="611"/>
      <c r="J115" s="611"/>
      <c r="K115" s="157"/>
      <c r="L115" s="295"/>
      <c r="M115" s="295"/>
      <c r="N115" s="158"/>
      <c r="O115" s="296">
        <v>0.015</v>
      </c>
      <c r="P115" s="259"/>
      <c r="Q115" s="156"/>
      <c r="R115" s="156"/>
      <c r="S115" s="156"/>
      <c r="T115" s="156"/>
      <c r="U115" s="156"/>
    </row>
    <row r="116" spans="1:21" ht="15">
      <c r="A116" s="156"/>
      <c r="B116" s="163"/>
      <c r="C116" s="163"/>
      <c r="D116" s="157"/>
      <c r="E116" s="157"/>
      <c r="F116" s="157"/>
      <c r="G116" s="611" t="s">
        <v>55</v>
      </c>
      <c r="H116" s="611"/>
      <c r="I116" s="611"/>
      <c r="J116" s="611"/>
      <c r="K116" s="157"/>
      <c r="L116" s="295"/>
      <c r="M116" s="295"/>
      <c r="N116" s="158"/>
      <c r="O116" s="296">
        <v>0.01</v>
      </c>
      <c r="P116" s="259"/>
      <c r="Q116" s="156"/>
      <c r="R116" s="156"/>
      <c r="S116" s="156"/>
      <c r="T116" s="156"/>
      <c r="U116" s="156"/>
    </row>
    <row r="117" spans="1:21" ht="15">
      <c r="A117" s="156"/>
      <c r="B117" s="163"/>
      <c r="C117" s="163"/>
      <c r="D117" s="157"/>
      <c r="E117" s="157"/>
      <c r="F117" s="157"/>
      <c r="G117" s="611" t="s">
        <v>56</v>
      </c>
      <c r="H117" s="611"/>
      <c r="I117" s="611"/>
      <c r="J117" s="611"/>
      <c r="K117" s="157"/>
      <c r="L117" s="295"/>
      <c r="M117" s="295"/>
      <c r="N117" s="158"/>
      <c r="O117" s="296">
        <v>0.002</v>
      </c>
      <c r="P117" s="259"/>
      <c r="Q117" s="156"/>
      <c r="R117" s="156"/>
      <c r="S117" s="156"/>
      <c r="T117" s="156"/>
      <c r="U117" s="156"/>
    </row>
    <row r="118" spans="1:21" ht="15">
      <c r="A118" s="156"/>
      <c r="B118" s="163"/>
      <c r="C118" s="163"/>
      <c r="D118" s="157"/>
      <c r="E118" s="157"/>
      <c r="F118" s="157"/>
      <c r="G118" s="611" t="s">
        <v>58</v>
      </c>
      <c r="H118" s="611"/>
      <c r="I118" s="611"/>
      <c r="J118" s="611"/>
      <c r="K118" s="157"/>
      <c r="L118" s="295"/>
      <c r="M118" s="295"/>
      <c r="N118" s="158"/>
      <c r="O118" s="296">
        <v>0.025</v>
      </c>
      <c r="P118" s="265"/>
      <c r="Q118" s="156"/>
      <c r="R118" s="156"/>
      <c r="S118" s="156"/>
      <c r="T118" s="156"/>
      <c r="U118" s="156"/>
    </row>
    <row r="119" spans="1:21" ht="15">
      <c r="A119" s="156"/>
      <c r="B119" s="163"/>
      <c r="C119" s="163"/>
      <c r="D119" s="157"/>
      <c r="E119" s="157"/>
      <c r="F119" s="157"/>
      <c r="G119" s="611" t="s">
        <v>60</v>
      </c>
      <c r="H119" s="611"/>
      <c r="I119" s="611"/>
      <c r="J119" s="611"/>
      <c r="K119" s="157"/>
      <c r="L119" s="295"/>
      <c r="M119" s="295"/>
      <c r="N119" s="158"/>
      <c r="O119" s="296">
        <v>0.08</v>
      </c>
      <c r="P119" s="259"/>
      <c r="Q119" s="156"/>
      <c r="R119" s="156"/>
      <c r="S119" s="156"/>
      <c r="T119" s="156"/>
      <c r="U119" s="156"/>
    </row>
    <row r="120" spans="1:21" ht="15">
      <c r="A120" s="156"/>
      <c r="B120" s="163"/>
      <c r="C120" s="163"/>
      <c r="D120" s="157"/>
      <c r="E120" s="157"/>
      <c r="F120" s="157"/>
      <c r="G120" s="611" t="s">
        <v>62</v>
      </c>
      <c r="H120" s="611"/>
      <c r="I120" s="611"/>
      <c r="J120" s="611"/>
      <c r="K120" s="157"/>
      <c r="L120" s="297"/>
      <c r="M120" s="297"/>
      <c r="N120" s="158"/>
      <c r="O120" s="298">
        <v>0.03</v>
      </c>
      <c r="P120" s="259"/>
      <c r="Q120" s="156"/>
      <c r="R120" s="156"/>
      <c r="S120" s="156"/>
      <c r="T120" s="156"/>
      <c r="U120" s="156"/>
    </row>
    <row r="121" spans="1:21" ht="15">
      <c r="A121" s="156"/>
      <c r="B121" s="163"/>
      <c r="C121" s="163"/>
      <c r="D121" s="157"/>
      <c r="E121" s="157"/>
      <c r="F121" s="157"/>
      <c r="G121" s="611" t="s">
        <v>64</v>
      </c>
      <c r="H121" s="611"/>
      <c r="I121" s="611"/>
      <c r="J121" s="611"/>
      <c r="K121" s="157"/>
      <c r="L121" s="295"/>
      <c r="M121" s="295"/>
      <c r="N121" s="158"/>
      <c r="O121" s="296">
        <v>0.006</v>
      </c>
      <c r="P121" s="259"/>
      <c r="Q121" s="156"/>
      <c r="R121" s="156"/>
      <c r="S121" s="156"/>
      <c r="T121" s="156"/>
      <c r="U121" s="156"/>
    </row>
    <row r="122" spans="1:21" ht="15">
      <c r="A122" s="156"/>
      <c r="B122" s="163"/>
      <c r="C122" s="163"/>
      <c r="D122" s="157"/>
      <c r="E122" s="157"/>
      <c r="F122" s="157"/>
      <c r="G122" s="754" t="s">
        <v>66</v>
      </c>
      <c r="H122" s="754"/>
      <c r="I122" s="754"/>
      <c r="J122" s="754"/>
      <c r="K122" s="157"/>
      <c r="L122" s="158"/>
      <c r="M122" s="264"/>
      <c r="N122" s="264"/>
      <c r="O122" s="266">
        <f>SUM(O114:O121)</f>
        <v>0.3680000000000001</v>
      </c>
      <c r="P122" s="259"/>
      <c r="Q122" s="156"/>
      <c r="R122" s="156"/>
      <c r="S122" s="156"/>
      <c r="T122" s="156"/>
      <c r="U122" s="156"/>
    </row>
    <row r="123" spans="1:21" ht="15.75" thickBot="1">
      <c r="A123" s="156"/>
      <c r="B123" s="163"/>
      <c r="C123" s="190"/>
      <c r="D123" s="176"/>
      <c r="E123" s="176"/>
      <c r="F123" s="176"/>
      <c r="G123" s="267"/>
      <c r="H123" s="176"/>
      <c r="I123" s="176"/>
      <c r="J123" s="176"/>
      <c r="K123" s="176"/>
      <c r="L123" s="176"/>
      <c r="M123" s="268"/>
      <c r="N123" s="269"/>
      <c r="O123" s="272"/>
      <c r="P123" s="259"/>
      <c r="Q123" s="156"/>
      <c r="R123" s="156"/>
      <c r="S123" s="156"/>
      <c r="T123" s="156"/>
      <c r="U123" s="156"/>
    </row>
    <row r="124" spans="1:21" ht="15.75" thickBot="1">
      <c r="A124" s="156"/>
      <c r="B124" s="163"/>
      <c r="C124" s="247"/>
      <c r="D124" s="206"/>
      <c r="E124" s="206"/>
      <c r="F124" s="248" t="s">
        <v>68</v>
      </c>
      <c r="G124" s="249"/>
      <c r="H124" s="206"/>
      <c r="I124" s="206"/>
      <c r="J124" s="206"/>
      <c r="K124" s="206"/>
      <c r="L124" s="206"/>
      <c r="M124" s="273"/>
      <c r="N124" s="274"/>
      <c r="O124" s="276"/>
      <c r="P124" s="259"/>
      <c r="Q124" s="156"/>
      <c r="R124" s="156"/>
      <c r="S124" s="156"/>
      <c r="T124" s="156"/>
      <c r="U124" s="156"/>
    </row>
    <row r="125" spans="1:21" ht="15">
      <c r="A125" s="156"/>
      <c r="B125" s="163"/>
      <c r="C125" s="201"/>
      <c r="D125" s="154"/>
      <c r="E125" s="154"/>
      <c r="F125" s="154"/>
      <c r="G125" s="603" t="s">
        <v>70</v>
      </c>
      <c r="H125" s="603"/>
      <c r="I125" s="603"/>
      <c r="J125" s="603"/>
      <c r="K125" s="154"/>
      <c r="L125" s="154"/>
      <c r="M125" s="299"/>
      <c r="N125" s="299"/>
      <c r="O125" s="278">
        <v>0.11111111111111109</v>
      </c>
      <c r="P125" s="259"/>
      <c r="Q125" s="156"/>
      <c r="R125" s="156"/>
      <c r="S125" s="156"/>
      <c r="T125" s="156"/>
      <c r="U125" s="156"/>
    </row>
    <row r="126" spans="1:21" ht="15">
      <c r="A126" s="156"/>
      <c r="B126" s="163"/>
      <c r="C126" s="163"/>
      <c r="D126" s="157"/>
      <c r="E126" s="157"/>
      <c r="F126" s="157"/>
      <c r="G126" s="593" t="s">
        <v>72</v>
      </c>
      <c r="H126" s="593"/>
      <c r="I126" s="593"/>
      <c r="J126" s="593"/>
      <c r="K126" s="157"/>
      <c r="L126" s="157"/>
      <c r="M126" s="279"/>
      <c r="N126" s="279"/>
      <c r="O126" s="280">
        <v>0.0194</v>
      </c>
      <c r="P126" s="259"/>
      <c r="Q126" s="156"/>
      <c r="R126" s="156"/>
      <c r="S126" s="156"/>
      <c r="T126" s="156"/>
      <c r="U126" s="156"/>
    </row>
    <row r="127" spans="1:21" ht="15">
      <c r="A127" s="156"/>
      <c r="B127" s="163"/>
      <c r="C127" s="163"/>
      <c r="D127" s="157"/>
      <c r="E127" s="157"/>
      <c r="F127" s="157"/>
      <c r="G127" s="593" t="s">
        <v>74</v>
      </c>
      <c r="H127" s="593"/>
      <c r="I127" s="593"/>
      <c r="J127" s="593"/>
      <c r="K127" s="157"/>
      <c r="L127" s="157"/>
      <c r="M127" s="279"/>
      <c r="N127" s="279"/>
      <c r="O127" s="280">
        <v>0.0139</v>
      </c>
      <c r="P127" s="259"/>
      <c r="Q127" s="156"/>
      <c r="R127" s="156"/>
      <c r="S127" s="156"/>
      <c r="T127" s="156"/>
      <c r="U127" s="156"/>
    </row>
    <row r="128" spans="1:21" ht="15">
      <c r="A128" s="156"/>
      <c r="B128" s="163"/>
      <c r="C128" s="163"/>
      <c r="D128" s="157"/>
      <c r="E128" s="157"/>
      <c r="F128" s="157"/>
      <c r="G128" s="593" t="s">
        <v>76</v>
      </c>
      <c r="H128" s="593"/>
      <c r="I128" s="593"/>
      <c r="J128" s="593"/>
      <c r="K128" s="157"/>
      <c r="L128" s="157"/>
      <c r="M128" s="279"/>
      <c r="N128" s="279"/>
      <c r="O128" s="280">
        <v>0.0033</v>
      </c>
      <c r="P128" s="259"/>
      <c r="Q128" s="156"/>
      <c r="R128" s="156"/>
      <c r="S128" s="156"/>
      <c r="T128" s="156"/>
      <c r="U128" s="156"/>
    </row>
    <row r="129" spans="1:21" ht="15">
      <c r="A129" s="156"/>
      <c r="B129" s="163"/>
      <c r="C129" s="163"/>
      <c r="D129" s="157"/>
      <c r="E129" s="157"/>
      <c r="F129" s="157"/>
      <c r="G129" s="593" t="s">
        <v>78</v>
      </c>
      <c r="H129" s="593"/>
      <c r="I129" s="593"/>
      <c r="J129" s="593"/>
      <c r="K129" s="157"/>
      <c r="L129" s="157"/>
      <c r="M129" s="279"/>
      <c r="N129" s="279"/>
      <c r="O129" s="280">
        <v>0.0027</v>
      </c>
      <c r="P129" s="265"/>
      <c r="Q129" s="156"/>
      <c r="R129" s="156"/>
      <c r="S129" s="156"/>
      <c r="T129" s="156"/>
      <c r="U129" s="156"/>
    </row>
    <row r="130" spans="1:21" ht="15">
      <c r="A130" s="156"/>
      <c r="B130" s="163"/>
      <c r="C130" s="163"/>
      <c r="D130" s="157"/>
      <c r="E130" s="157"/>
      <c r="F130" s="157"/>
      <c r="G130" s="594" t="s">
        <v>79</v>
      </c>
      <c r="H130" s="594"/>
      <c r="I130" s="594"/>
      <c r="J130" s="594"/>
      <c r="K130" s="157"/>
      <c r="L130" s="157"/>
      <c r="M130" s="281"/>
      <c r="N130" s="281"/>
      <c r="O130" s="280">
        <v>0.0007</v>
      </c>
      <c r="P130" s="284"/>
      <c r="Q130" s="156"/>
      <c r="R130" s="156"/>
      <c r="S130" s="156"/>
      <c r="T130" s="156"/>
      <c r="U130" s="156"/>
    </row>
    <row r="131" spans="1:21" ht="15">
      <c r="A131" s="156"/>
      <c r="B131" s="163"/>
      <c r="C131" s="163"/>
      <c r="D131" s="157"/>
      <c r="E131" s="157"/>
      <c r="F131" s="157"/>
      <c r="G131" s="593" t="s">
        <v>81</v>
      </c>
      <c r="H131" s="593"/>
      <c r="I131" s="593"/>
      <c r="J131" s="593"/>
      <c r="K131" s="157"/>
      <c r="L131" s="157"/>
      <c r="M131" s="279"/>
      <c r="N131" s="279"/>
      <c r="O131" s="280">
        <v>0.0002</v>
      </c>
      <c r="P131" s="157"/>
      <c r="Q131" s="156"/>
      <c r="R131" s="156"/>
      <c r="S131" s="156"/>
      <c r="T131" s="156"/>
      <c r="U131" s="156"/>
    </row>
    <row r="132" spans="1:21" ht="15">
      <c r="A132" s="156"/>
      <c r="B132" s="163"/>
      <c r="C132" s="163"/>
      <c r="D132" s="157"/>
      <c r="E132" s="157"/>
      <c r="F132" s="157"/>
      <c r="G132" s="593" t="s">
        <v>83</v>
      </c>
      <c r="H132" s="593"/>
      <c r="I132" s="593"/>
      <c r="J132" s="593"/>
      <c r="K132" s="157"/>
      <c r="L132" s="157"/>
      <c r="M132" s="277"/>
      <c r="N132" s="277"/>
      <c r="O132" s="282">
        <v>0.0833333333333333</v>
      </c>
      <c r="P132" s="287"/>
      <c r="Q132" s="156"/>
      <c r="R132" s="156"/>
      <c r="S132" s="156"/>
      <c r="T132" s="156"/>
      <c r="U132" s="156"/>
    </row>
    <row r="133" spans="1:21" ht="15.75" thickBot="1">
      <c r="A133" s="156"/>
      <c r="B133" s="163"/>
      <c r="C133" s="190"/>
      <c r="D133" s="176"/>
      <c r="E133" s="176"/>
      <c r="F133" s="176"/>
      <c r="G133" s="267" t="s">
        <v>85</v>
      </c>
      <c r="H133" s="176"/>
      <c r="I133" s="176"/>
      <c r="J133" s="176"/>
      <c r="K133" s="176"/>
      <c r="L133" s="176"/>
      <c r="M133" s="176"/>
      <c r="N133" s="158"/>
      <c r="O133" s="292">
        <f>SUM(M125:O132)</f>
        <v>0.23464444444444438</v>
      </c>
      <c r="P133" s="287"/>
      <c r="Q133" s="156"/>
      <c r="R133" s="156"/>
      <c r="S133" s="156"/>
      <c r="T133" s="156"/>
      <c r="U133" s="156"/>
    </row>
    <row r="134" spans="1:21" ht="15.75" thickBot="1">
      <c r="A134" s="156"/>
      <c r="B134" s="163"/>
      <c r="C134" s="181"/>
      <c r="D134" s="160"/>
      <c r="E134" s="160"/>
      <c r="F134" s="160"/>
      <c r="G134" s="300"/>
      <c r="H134" s="160"/>
      <c r="I134" s="160"/>
      <c r="J134" s="160"/>
      <c r="K134" s="160"/>
      <c r="L134" s="160"/>
      <c r="M134" s="160"/>
      <c r="N134" s="301"/>
      <c r="O134" s="302"/>
      <c r="P134" s="287"/>
      <c r="Q134" s="156"/>
      <c r="R134" s="156"/>
      <c r="S134" s="156"/>
      <c r="T134" s="156"/>
      <c r="U134" s="156"/>
    </row>
    <row r="135" spans="1:21" ht="15.75" thickBot="1">
      <c r="A135" s="156"/>
      <c r="B135" s="163"/>
      <c r="C135" s="247"/>
      <c r="D135" s="206"/>
      <c r="E135" s="206"/>
      <c r="F135" s="248" t="s">
        <v>86</v>
      </c>
      <c r="G135" s="249"/>
      <c r="H135" s="206"/>
      <c r="I135" s="206"/>
      <c r="J135" s="206"/>
      <c r="K135" s="206"/>
      <c r="L135" s="206"/>
      <c r="M135" s="273"/>
      <c r="N135" s="274"/>
      <c r="O135" s="276"/>
      <c r="P135" s="287"/>
      <c r="Q135" s="156"/>
      <c r="R135" s="156"/>
      <c r="S135" s="156"/>
      <c r="T135" s="156"/>
      <c r="U135" s="156"/>
    </row>
    <row r="136" spans="1:21" ht="15">
      <c r="A136" s="156"/>
      <c r="B136" s="163"/>
      <c r="C136" s="201"/>
      <c r="D136" s="154"/>
      <c r="E136" s="154"/>
      <c r="F136" s="303"/>
      <c r="G136" s="603" t="s">
        <v>88</v>
      </c>
      <c r="H136" s="603"/>
      <c r="I136" s="603"/>
      <c r="J136" s="603"/>
      <c r="K136" s="154"/>
      <c r="L136" s="154"/>
      <c r="M136" s="304"/>
      <c r="N136" s="305"/>
      <c r="O136" s="288">
        <v>0.0042</v>
      </c>
      <c r="P136" s="287"/>
      <c r="Q136" s="156"/>
      <c r="R136" s="156"/>
      <c r="S136" s="156"/>
      <c r="T136" s="156"/>
      <c r="U136" s="156"/>
    </row>
    <row r="137" spans="1:21" ht="15">
      <c r="A137" s="156"/>
      <c r="B137" s="163"/>
      <c r="C137" s="163"/>
      <c r="D137" s="157"/>
      <c r="E137" s="157"/>
      <c r="F137" s="194"/>
      <c r="G137" s="593" t="s">
        <v>90</v>
      </c>
      <c r="H137" s="593"/>
      <c r="I137" s="593"/>
      <c r="J137" s="593"/>
      <c r="K137" s="157"/>
      <c r="L137" s="157"/>
      <c r="M137" s="285"/>
      <c r="N137" s="286"/>
      <c r="O137" s="289">
        <v>0.0016</v>
      </c>
      <c r="P137" s="287"/>
      <c r="Q137" s="156"/>
      <c r="R137" s="156"/>
      <c r="S137" s="156"/>
      <c r="T137" s="156"/>
      <c r="U137" s="156"/>
    </row>
    <row r="138" spans="1:21" ht="15">
      <c r="A138" s="156"/>
      <c r="B138" s="163"/>
      <c r="C138" s="163"/>
      <c r="D138" s="157"/>
      <c r="E138" s="157"/>
      <c r="F138" s="194"/>
      <c r="G138" s="593" t="s">
        <v>92</v>
      </c>
      <c r="H138" s="593"/>
      <c r="I138" s="593"/>
      <c r="J138" s="593"/>
      <c r="K138" s="157"/>
      <c r="L138" s="157"/>
      <c r="M138" s="285"/>
      <c r="N138" s="286"/>
      <c r="O138" s="289">
        <v>0.0003</v>
      </c>
      <c r="P138" s="290"/>
      <c r="Q138" s="156"/>
      <c r="R138" s="156"/>
      <c r="S138" s="156"/>
      <c r="T138" s="156"/>
      <c r="U138" s="156"/>
    </row>
    <row r="139" spans="1:21" ht="15">
      <c r="A139" s="156"/>
      <c r="B139" s="163"/>
      <c r="C139" s="163"/>
      <c r="D139" s="157"/>
      <c r="E139" s="157"/>
      <c r="F139" s="194"/>
      <c r="G139" s="593" t="s">
        <v>94</v>
      </c>
      <c r="H139" s="593"/>
      <c r="I139" s="593"/>
      <c r="J139" s="593"/>
      <c r="K139" s="157"/>
      <c r="L139" s="157"/>
      <c r="M139" s="285"/>
      <c r="N139" s="286"/>
      <c r="O139" s="289">
        <v>0.032</v>
      </c>
      <c r="P139" s="157"/>
      <c r="Q139" s="156"/>
      <c r="R139" s="306"/>
      <c r="S139" s="156"/>
      <c r="T139" s="156"/>
      <c r="U139" s="156"/>
    </row>
    <row r="140" spans="1:21" ht="15">
      <c r="A140" s="156"/>
      <c r="B140" s="163"/>
      <c r="C140" s="163"/>
      <c r="D140" s="157"/>
      <c r="E140" s="157"/>
      <c r="F140" s="194"/>
      <c r="G140" s="593" t="s">
        <v>96</v>
      </c>
      <c r="H140" s="593"/>
      <c r="I140" s="593"/>
      <c r="J140" s="593"/>
      <c r="K140" s="157"/>
      <c r="L140" s="157"/>
      <c r="M140" s="285"/>
      <c r="N140" s="286"/>
      <c r="O140" s="289">
        <v>0.0004</v>
      </c>
      <c r="P140" s="307"/>
      <c r="Q140" s="156"/>
      <c r="R140" s="308"/>
      <c r="S140" s="156"/>
      <c r="T140" s="156"/>
      <c r="U140" s="156"/>
    </row>
    <row r="141" spans="1:21" ht="15">
      <c r="A141" s="156"/>
      <c r="B141" s="163"/>
      <c r="C141" s="163"/>
      <c r="D141" s="157"/>
      <c r="E141" s="157"/>
      <c r="F141" s="194"/>
      <c r="G141" s="593" t="s">
        <v>98</v>
      </c>
      <c r="H141" s="593"/>
      <c r="I141" s="593"/>
      <c r="J141" s="593"/>
      <c r="K141" s="593"/>
      <c r="L141" s="593"/>
      <c r="M141" s="285"/>
      <c r="N141" s="286"/>
      <c r="O141" s="289">
        <v>0.0002</v>
      </c>
      <c r="P141" s="156"/>
      <c r="Q141" s="156"/>
      <c r="R141" s="308"/>
      <c r="S141" s="156"/>
      <c r="T141" s="156"/>
      <c r="U141" s="156"/>
    </row>
    <row r="142" spans="1:21" ht="15">
      <c r="A142" s="156"/>
      <c r="B142" s="163"/>
      <c r="C142" s="163"/>
      <c r="D142" s="157"/>
      <c r="E142" s="157"/>
      <c r="F142" s="194"/>
      <c r="G142" s="593" t="s">
        <v>100</v>
      </c>
      <c r="H142" s="593"/>
      <c r="I142" s="593"/>
      <c r="J142" s="593"/>
      <c r="K142" s="157"/>
      <c r="L142" s="157"/>
      <c r="M142" s="157"/>
      <c r="N142" s="286"/>
      <c r="O142" s="289">
        <v>0.0887</v>
      </c>
      <c r="P142" s="306"/>
      <c r="Q142" s="306"/>
      <c r="R142" s="308"/>
      <c r="S142" s="156"/>
      <c r="T142" s="156"/>
      <c r="U142" s="156"/>
    </row>
    <row r="143" spans="1:21" ht="15">
      <c r="A143" s="156"/>
      <c r="B143" s="163"/>
      <c r="C143" s="163"/>
      <c r="D143" s="157"/>
      <c r="E143" s="157"/>
      <c r="F143" s="157"/>
      <c r="G143" s="263" t="s">
        <v>101</v>
      </c>
      <c r="H143" s="157"/>
      <c r="I143" s="157"/>
      <c r="J143" s="157"/>
      <c r="K143" s="157"/>
      <c r="L143" s="157"/>
      <c r="M143" s="157"/>
      <c r="N143" s="158"/>
      <c r="O143" s="266">
        <f>SUM(O136:O142)</f>
        <v>0.1274</v>
      </c>
      <c r="P143" s="308"/>
      <c r="Q143" s="308"/>
      <c r="R143" s="308"/>
      <c r="S143" s="156"/>
      <c r="T143" s="156"/>
      <c r="U143" s="156"/>
    </row>
    <row r="144" spans="1:21" ht="15.75" thickBot="1">
      <c r="A144" s="156"/>
      <c r="B144" s="163"/>
      <c r="C144" s="190"/>
      <c r="D144" s="176"/>
      <c r="E144" s="176"/>
      <c r="F144" s="176"/>
      <c r="G144" s="267" t="s">
        <v>103</v>
      </c>
      <c r="H144" s="176"/>
      <c r="I144" s="176"/>
      <c r="J144" s="176"/>
      <c r="K144" s="176"/>
      <c r="L144" s="176"/>
      <c r="M144" s="176"/>
      <c r="N144" s="270"/>
      <c r="O144" s="292">
        <f>SUM(O122,O133,O143)</f>
        <v>0.7300444444444445</v>
      </c>
      <c r="P144" s="308"/>
      <c r="Q144" s="308"/>
      <c r="R144" s="308"/>
      <c r="S144" s="156"/>
      <c r="T144" s="156"/>
      <c r="U144" s="156"/>
    </row>
    <row r="145" spans="1:21" ht="15.75" thickBot="1">
      <c r="A145" s="156"/>
      <c r="B145" s="163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86"/>
      <c r="P145" s="308"/>
      <c r="Q145" s="308"/>
      <c r="R145" s="308"/>
      <c r="S145" s="156"/>
      <c r="T145" s="156"/>
      <c r="U145" s="156"/>
    </row>
    <row r="146" spans="1:21" ht="15.75" thickBot="1">
      <c r="A146" s="156"/>
      <c r="B146" s="163"/>
      <c r="C146" s="205" t="s">
        <v>87</v>
      </c>
      <c r="D146" s="206"/>
      <c r="E146" s="206"/>
      <c r="F146" s="206"/>
      <c r="G146" s="275"/>
      <c r="H146" s="206"/>
      <c r="I146" s="206"/>
      <c r="J146" s="206"/>
      <c r="K146" s="206"/>
      <c r="L146" s="206"/>
      <c r="M146" s="206"/>
      <c r="N146" s="206"/>
      <c r="O146" s="309"/>
      <c r="P146" s="308"/>
      <c r="Q146" s="308"/>
      <c r="R146" s="308"/>
      <c r="S146" s="156"/>
      <c r="T146" s="156"/>
      <c r="U146" s="156"/>
    </row>
    <row r="147" spans="1:21" ht="15">
      <c r="A147" s="156"/>
      <c r="B147" s="163"/>
      <c r="C147" s="201" t="s">
        <v>91</v>
      </c>
      <c r="D147" s="154"/>
      <c r="E147" s="154"/>
      <c r="F147" s="154"/>
      <c r="G147" s="211"/>
      <c r="H147" s="154"/>
      <c r="I147" s="154"/>
      <c r="J147" s="211"/>
      <c r="K147" s="154"/>
      <c r="L147" s="154"/>
      <c r="M147" s="154"/>
      <c r="N147" s="154"/>
      <c r="O147" s="310">
        <v>0.035</v>
      </c>
      <c r="P147" s="308"/>
      <c r="Q147" s="308"/>
      <c r="R147" s="308"/>
      <c r="S147" s="156"/>
      <c r="T147" s="156"/>
      <c r="U147" s="156"/>
    </row>
    <row r="148" spans="1:21" ht="15">
      <c r="A148" s="156"/>
      <c r="B148" s="163"/>
      <c r="C148" s="163" t="s">
        <v>93</v>
      </c>
      <c r="D148" s="157"/>
      <c r="E148" s="157"/>
      <c r="F148" s="157"/>
      <c r="G148" s="158"/>
      <c r="H148" s="157"/>
      <c r="I148" s="157"/>
      <c r="J148" s="158"/>
      <c r="K148" s="157"/>
      <c r="L148" s="157"/>
      <c r="M148" s="157"/>
      <c r="N148" s="157"/>
      <c r="O148" s="298">
        <v>0.0065</v>
      </c>
      <c r="P148" s="308"/>
      <c r="Q148" s="308"/>
      <c r="R148" s="308"/>
      <c r="S148" s="156"/>
      <c r="T148" s="156"/>
      <c r="U148" s="156"/>
    </row>
    <row r="149" spans="1:21" ht="15">
      <c r="A149" s="156"/>
      <c r="B149" s="163"/>
      <c r="C149" s="163" t="s">
        <v>95</v>
      </c>
      <c r="D149" s="157"/>
      <c r="E149" s="157"/>
      <c r="F149" s="157"/>
      <c r="G149" s="158"/>
      <c r="H149" s="157"/>
      <c r="I149" s="157"/>
      <c r="J149" s="158"/>
      <c r="K149" s="157"/>
      <c r="L149" s="157"/>
      <c r="M149" s="157"/>
      <c r="N149" s="157"/>
      <c r="O149" s="289">
        <v>0.03</v>
      </c>
      <c r="P149" s="308"/>
      <c r="Q149" s="308"/>
      <c r="R149" s="284"/>
      <c r="S149" s="156"/>
      <c r="T149" s="156"/>
      <c r="U149" s="156"/>
    </row>
    <row r="150" spans="1:21" ht="15.75" thickBot="1">
      <c r="A150" s="156"/>
      <c r="B150" s="163"/>
      <c r="C150" s="190" t="s">
        <v>97</v>
      </c>
      <c r="D150" s="176"/>
      <c r="E150" s="176"/>
      <c r="F150" s="176"/>
      <c r="G150" s="270"/>
      <c r="H150" s="176"/>
      <c r="I150" s="176"/>
      <c r="J150" s="270"/>
      <c r="K150" s="176"/>
      <c r="L150" s="176"/>
      <c r="M150" s="176"/>
      <c r="N150" s="176"/>
      <c r="O150" s="311">
        <v>0.135</v>
      </c>
      <c r="P150" s="308"/>
      <c r="Q150" s="308"/>
      <c r="R150" s="308"/>
      <c r="S150" s="156"/>
      <c r="T150" s="156"/>
      <c r="U150" s="156"/>
    </row>
    <row r="151" spans="1:21" ht="15.75" thickBot="1">
      <c r="A151" s="156"/>
      <c r="B151" s="190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8"/>
      <c r="P151" s="308"/>
      <c r="Q151" s="308"/>
      <c r="R151" s="259"/>
      <c r="S151" s="156"/>
      <c r="T151" s="156"/>
      <c r="U151" s="156"/>
    </row>
  </sheetData>
  <sheetProtection password="CAEE" sheet="1" objects="1" scenarios="1" selectLockedCells="1" selectUnlockedCells="1"/>
  <mergeCells count="93">
    <mergeCell ref="G141:L141"/>
    <mergeCell ref="G142:J142"/>
    <mergeCell ref="G131:J131"/>
    <mergeCell ref="G132:J132"/>
    <mergeCell ref="G136:J136"/>
    <mergeCell ref="G137:J137"/>
    <mergeCell ref="G138:J138"/>
    <mergeCell ref="G139:J139"/>
    <mergeCell ref="G126:J126"/>
    <mergeCell ref="G127:J127"/>
    <mergeCell ref="G128:J128"/>
    <mergeCell ref="G129:J129"/>
    <mergeCell ref="G130:J130"/>
    <mergeCell ref="G140:J140"/>
    <mergeCell ref="G118:J118"/>
    <mergeCell ref="G119:J119"/>
    <mergeCell ref="G120:J120"/>
    <mergeCell ref="G121:J121"/>
    <mergeCell ref="G122:J122"/>
    <mergeCell ref="G125:J125"/>
    <mergeCell ref="E107:K107"/>
    <mergeCell ref="C112:O112"/>
    <mergeCell ref="G114:J114"/>
    <mergeCell ref="G115:J115"/>
    <mergeCell ref="G116:J116"/>
    <mergeCell ref="G117:J117"/>
    <mergeCell ref="E98:H98"/>
    <mergeCell ref="E102:H102"/>
    <mergeCell ref="E103:H103"/>
    <mergeCell ref="E104:H104"/>
    <mergeCell ref="E105:I105"/>
    <mergeCell ref="E106:I106"/>
    <mergeCell ref="E92:H92"/>
    <mergeCell ref="E93:H93"/>
    <mergeCell ref="E94:H94"/>
    <mergeCell ref="E95:H95"/>
    <mergeCell ref="E96:H96"/>
    <mergeCell ref="E97:H97"/>
    <mergeCell ref="E84:H84"/>
    <mergeCell ref="E85:H85"/>
    <mergeCell ref="E86:H86"/>
    <mergeCell ref="E87:H87"/>
    <mergeCell ref="E88:H88"/>
    <mergeCell ref="E91:H91"/>
    <mergeCell ref="C76:H76"/>
    <mergeCell ref="C78:O78"/>
    <mergeCell ref="E80:H80"/>
    <mergeCell ref="E81:H81"/>
    <mergeCell ref="E82:H82"/>
    <mergeCell ref="E83:H83"/>
    <mergeCell ref="L68:M68"/>
    <mergeCell ref="L69:M69"/>
    <mergeCell ref="C72:H72"/>
    <mergeCell ref="C73:H73"/>
    <mergeCell ref="C74:H74"/>
    <mergeCell ref="C75:H75"/>
    <mergeCell ref="L62:M62"/>
    <mergeCell ref="L63:M63"/>
    <mergeCell ref="L64:M64"/>
    <mergeCell ref="L65:M65"/>
    <mergeCell ref="L66:M66"/>
    <mergeCell ref="L67:M67"/>
    <mergeCell ref="C49:D49"/>
    <mergeCell ref="C50:D50"/>
    <mergeCell ref="C51:D51"/>
    <mergeCell ref="C52:D52"/>
    <mergeCell ref="C53:D53"/>
    <mergeCell ref="L61:M61"/>
    <mergeCell ref="C43:D43"/>
    <mergeCell ref="C44:D44"/>
    <mergeCell ref="C45:D45"/>
    <mergeCell ref="C46:D46"/>
    <mergeCell ref="C47:D47"/>
    <mergeCell ref="C48:D48"/>
    <mergeCell ref="B16:G16"/>
    <mergeCell ref="C17:J17"/>
    <mergeCell ref="C23:F23"/>
    <mergeCell ref="C24:J24"/>
    <mergeCell ref="C27:F27"/>
    <mergeCell ref="C28:F28"/>
    <mergeCell ref="L60:M60"/>
    <mergeCell ref="L59:M59"/>
    <mergeCell ref="M53:N53"/>
    <mergeCell ref="M52:N52"/>
    <mergeCell ref="M51:N51"/>
    <mergeCell ref="M50:N50"/>
    <mergeCell ref="M43:N43"/>
    <mergeCell ref="M49:N49"/>
    <mergeCell ref="M48:N48"/>
    <mergeCell ref="M47:N47"/>
    <mergeCell ref="M46:N46"/>
    <mergeCell ref="M45:N45"/>
    <mergeCell ref="M44:N44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>
    <tabColor indexed="22"/>
  </sheetPr>
  <dimension ref="A1:AR7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0.7109375" style="312" customWidth="1"/>
    <col min="2" max="2" width="18.8515625" style="312" customWidth="1"/>
    <col min="3" max="3" width="17.140625" style="312" customWidth="1"/>
    <col min="4" max="4" width="26.28125" style="312" customWidth="1"/>
    <col min="5" max="5" width="45.00390625" style="312" customWidth="1"/>
    <col min="6" max="6" width="19.7109375" style="312" customWidth="1"/>
    <col min="7" max="16384" width="9.140625" style="312" customWidth="1"/>
  </cols>
  <sheetData>
    <row r="1" spans="1:44" ht="21">
      <c r="A1" s="757" t="s">
        <v>213</v>
      </c>
      <c r="B1" s="757"/>
      <c r="C1" s="757"/>
      <c r="D1" s="757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P1" s="315"/>
      <c r="AQ1" s="315"/>
      <c r="AR1" s="315"/>
    </row>
    <row r="2" spans="1:44" ht="21" customHeight="1">
      <c r="A2" s="758" t="s">
        <v>214</v>
      </c>
      <c r="B2" s="758"/>
      <c r="C2" s="758"/>
      <c r="D2" s="758"/>
      <c r="E2" s="8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P2" s="315"/>
      <c r="AQ2" s="315"/>
      <c r="AR2" s="315"/>
    </row>
    <row r="3" spans="1:44" ht="21" customHeight="1">
      <c r="A3" s="758" t="s">
        <v>215</v>
      </c>
      <c r="B3" s="758"/>
      <c r="C3" s="758"/>
      <c r="D3" s="758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P3" s="315"/>
      <c r="AQ3" s="315"/>
      <c r="AR3" s="315"/>
    </row>
    <row r="4" spans="1:44" ht="21" customHeight="1">
      <c r="A4" s="759"/>
      <c r="B4" s="759"/>
      <c r="C4" s="759"/>
      <c r="D4" s="759"/>
      <c r="E4" s="8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P4" s="315"/>
      <c r="AQ4" s="315"/>
      <c r="AR4" s="315"/>
    </row>
    <row r="5" spans="1:44" ht="15" customHeight="1">
      <c r="A5" s="760"/>
      <c r="B5" s="760"/>
      <c r="C5" s="760"/>
      <c r="D5" s="316" t="s">
        <v>216</v>
      </c>
      <c r="E5" s="317"/>
      <c r="F5" s="317"/>
      <c r="G5" s="317"/>
      <c r="H5" s="317"/>
      <c r="I5" s="317"/>
      <c r="J5" s="317"/>
      <c r="K5" s="317"/>
      <c r="L5" s="317"/>
      <c r="M5" s="2"/>
      <c r="N5" s="2"/>
      <c r="O5" s="2"/>
      <c r="AP5" s="315"/>
      <c r="AQ5" s="315"/>
      <c r="AR5" s="315"/>
    </row>
    <row r="6" spans="1:44" ht="15" customHeight="1">
      <c r="A6" s="761" t="s">
        <v>217</v>
      </c>
      <c r="B6" s="761"/>
      <c r="C6" s="761"/>
      <c r="D6" s="318">
        <v>2013</v>
      </c>
      <c r="E6" s="2"/>
      <c r="AP6" s="315"/>
      <c r="AQ6" s="315"/>
      <c r="AR6" s="315"/>
    </row>
    <row r="7" spans="1:44" ht="25.5" customHeight="1">
      <c r="A7" s="756" t="s">
        <v>128</v>
      </c>
      <c r="B7" s="756"/>
      <c r="C7" s="756"/>
      <c r="D7" s="397">
        <v>150000</v>
      </c>
      <c r="E7" s="2"/>
      <c r="AP7" s="315"/>
      <c r="AQ7" s="315"/>
      <c r="AR7" s="315"/>
    </row>
  </sheetData>
  <sheetProtection password="CAEE" sheet="1" objects="1" scenarios="1" selectLockedCells="1" selectUnlockedCells="1"/>
  <mergeCells count="7">
    <mergeCell ref="A7:C7"/>
    <mergeCell ref="A1:D1"/>
    <mergeCell ref="A2:D2"/>
    <mergeCell ref="A3:D3"/>
    <mergeCell ref="A4:D4"/>
    <mergeCell ref="A5:C5"/>
    <mergeCell ref="A6:C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>
    <tabColor indexed="22"/>
  </sheetPr>
  <dimension ref="A1:E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00390625" style="2" customWidth="1"/>
    <col min="2" max="2" width="40.00390625" style="2" customWidth="1"/>
    <col min="3" max="3" width="11.8515625" style="2" customWidth="1"/>
    <col min="4" max="4" width="9.140625" style="2" customWidth="1"/>
    <col min="5" max="5" width="12.57421875" style="2" customWidth="1"/>
    <col min="6" max="16384" width="9.140625" style="2" customWidth="1"/>
  </cols>
  <sheetData>
    <row r="1" spans="1:5" ht="21">
      <c r="A1" s="88"/>
      <c r="B1" s="89"/>
      <c r="C1" s="90"/>
      <c r="D1" s="90"/>
      <c r="E1" s="90"/>
    </row>
    <row r="2" spans="1:5" ht="21" customHeight="1">
      <c r="A2" s="319"/>
      <c r="B2" s="762" t="s">
        <v>112</v>
      </c>
      <c r="C2" s="762"/>
      <c r="D2" s="762"/>
      <c r="E2" s="762"/>
    </row>
    <row r="3" spans="1:5" ht="21">
      <c r="A3" s="92"/>
      <c r="B3" s="762"/>
      <c r="C3" s="762"/>
      <c r="D3" s="762"/>
      <c r="E3" s="762"/>
    </row>
    <row r="4" spans="1:5" ht="21.75" thickBot="1">
      <c r="A4" s="95"/>
      <c r="B4" s="763" t="s">
        <v>218</v>
      </c>
      <c r="C4" s="763"/>
      <c r="D4" s="763"/>
      <c r="E4" s="763"/>
    </row>
    <row r="5" spans="1:5" ht="15" customHeight="1">
      <c r="A5" s="766" t="s">
        <v>219</v>
      </c>
      <c r="B5" s="765" t="s">
        <v>220</v>
      </c>
      <c r="C5" s="767" t="s">
        <v>221</v>
      </c>
      <c r="D5" s="764" t="s">
        <v>222</v>
      </c>
      <c r="E5" s="764" t="s">
        <v>223</v>
      </c>
    </row>
    <row r="6" spans="1:5" ht="15">
      <c r="A6" s="766"/>
      <c r="B6" s="765"/>
      <c r="C6" s="767"/>
      <c r="D6" s="765"/>
      <c r="E6" s="765"/>
    </row>
    <row r="7" spans="1:5" ht="15">
      <c r="A7" s="321">
        <v>1</v>
      </c>
      <c r="B7" s="321" t="s">
        <v>285</v>
      </c>
      <c r="C7" s="321">
        <v>120</v>
      </c>
      <c r="D7" s="321">
        <v>37</v>
      </c>
      <c r="E7" s="321" t="s">
        <v>32</v>
      </c>
    </row>
    <row r="8" spans="1:5" ht="15">
      <c r="A8" s="501">
        <v>2</v>
      </c>
      <c r="B8" s="321" t="s">
        <v>286</v>
      </c>
      <c r="C8" s="321">
        <v>95</v>
      </c>
      <c r="D8" s="321">
        <v>30</v>
      </c>
      <c r="E8" s="321" t="s">
        <v>32</v>
      </c>
    </row>
    <row r="9" spans="1:5" ht="15">
      <c r="A9" s="321">
        <v>3</v>
      </c>
      <c r="B9" s="321" t="s">
        <v>287</v>
      </c>
      <c r="C9" s="321">
        <v>90</v>
      </c>
      <c r="D9" s="321">
        <v>45</v>
      </c>
      <c r="E9" s="321" t="s">
        <v>32</v>
      </c>
    </row>
  </sheetData>
  <sheetProtection password="CAEE" sheet="1" objects="1" scenarios="1" selectLockedCells="1" selectUnlockedCells="1"/>
  <mergeCells count="7">
    <mergeCell ref="B2:E3"/>
    <mergeCell ref="B4:E4"/>
    <mergeCell ref="D5:D6"/>
    <mergeCell ref="E5:E6"/>
    <mergeCell ref="A5:A6"/>
    <mergeCell ref="B5:B6"/>
    <mergeCell ref="C5:C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AI29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10.140625" style="86" customWidth="1"/>
    <col min="2" max="3" width="13.140625" style="86" customWidth="1"/>
    <col min="4" max="4" width="15.00390625" style="86" customWidth="1"/>
    <col min="5" max="5" width="13.421875" style="86" customWidth="1"/>
    <col min="6" max="6" width="14.421875" style="86" customWidth="1"/>
    <col min="7" max="7" width="15.57421875" style="86" customWidth="1"/>
    <col min="8" max="8" width="13.421875" style="86" customWidth="1"/>
    <col min="9" max="9" width="11.28125" style="86" customWidth="1"/>
    <col min="10" max="10" width="11.421875" style="86" customWidth="1"/>
    <col min="11" max="11" width="15.00390625" style="86" customWidth="1"/>
    <col min="12" max="12" width="10.28125" style="86" customWidth="1"/>
    <col min="13" max="33" width="9.140625" style="86" customWidth="1"/>
    <col min="34" max="34" width="8.7109375" style="86" customWidth="1"/>
    <col min="35" max="35" width="0" style="86" hidden="1" customWidth="1"/>
    <col min="36" max="16384" width="9.140625" style="86" customWidth="1"/>
  </cols>
  <sheetData>
    <row r="1" spans="1:11" ht="15">
      <c r="A1" s="350" t="s">
        <v>0</v>
      </c>
      <c r="B1" s="350" t="s">
        <v>247</v>
      </c>
      <c r="C1" s="350" t="s">
        <v>246</v>
      </c>
      <c r="D1" s="320" t="s">
        <v>222</v>
      </c>
      <c r="E1" s="351" t="s">
        <v>223</v>
      </c>
      <c r="F1" s="353" t="s">
        <v>248</v>
      </c>
      <c r="G1" s="353" t="s">
        <v>249</v>
      </c>
      <c r="H1" s="356" t="s">
        <v>110</v>
      </c>
      <c r="I1" s="358" t="s">
        <v>242</v>
      </c>
      <c r="J1" s="358" t="s">
        <v>243</v>
      </c>
      <c r="K1" s="353" t="s">
        <v>296</v>
      </c>
    </row>
    <row r="2" spans="1:11" ht="15">
      <c r="A2" s="321">
        <v>1</v>
      </c>
      <c r="B2" s="321">
        <v>23</v>
      </c>
      <c r="C2" s="321">
        <v>120</v>
      </c>
      <c r="D2" s="321">
        <v>33</v>
      </c>
      <c r="E2" s="352" t="s">
        <v>32</v>
      </c>
      <c r="F2" s="397">
        <v>150000</v>
      </c>
      <c r="G2" s="354">
        <v>2390.03</v>
      </c>
      <c r="H2" s="357">
        <f>Valores!U7</f>
        <v>2165.46</v>
      </c>
      <c r="I2" s="442">
        <f>F25</f>
        <v>0.15</v>
      </c>
      <c r="J2" s="557">
        <f>G25</f>
        <v>0.0557740294</v>
      </c>
      <c r="K2" s="349">
        <v>1435.37</v>
      </c>
    </row>
    <row r="3" spans="1:11" ht="15">
      <c r="A3" s="321">
        <v>2</v>
      </c>
      <c r="B3" s="321">
        <v>29</v>
      </c>
      <c r="C3" s="321">
        <v>95</v>
      </c>
      <c r="D3" s="321">
        <v>33</v>
      </c>
      <c r="E3" s="352" t="s">
        <v>32</v>
      </c>
      <c r="F3" s="397">
        <v>150000</v>
      </c>
      <c r="G3" s="354">
        <v>2390.03</v>
      </c>
      <c r="H3" s="357">
        <f>Valores!U8</f>
        <v>2165.46</v>
      </c>
      <c r="I3" s="442">
        <f>F26</f>
        <v>0.3</v>
      </c>
      <c r="J3" s="557">
        <f>G26</f>
        <v>0.1115480588</v>
      </c>
      <c r="K3" s="349">
        <v>1435.37</v>
      </c>
    </row>
    <row r="4" spans="1:11" ht="15">
      <c r="A4" s="321">
        <v>3</v>
      </c>
      <c r="B4" s="321">
        <v>30</v>
      </c>
      <c r="C4" s="321">
        <v>90</v>
      </c>
      <c r="D4" s="321">
        <v>45</v>
      </c>
      <c r="E4" s="352" t="s">
        <v>32</v>
      </c>
      <c r="F4" s="397">
        <v>150000</v>
      </c>
      <c r="G4" s="354">
        <v>2390.03</v>
      </c>
      <c r="H4" s="357">
        <f>Valores!U9</f>
        <v>2952.9</v>
      </c>
      <c r="I4" s="442">
        <f>F26</f>
        <v>0.3</v>
      </c>
      <c r="J4" s="557">
        <f>G26</f>
        <v>0.1115480588</v>
      </c>
      <c r="K4" s="349"/>
    </row>
    <row r="6" ht="15">
      <c r="AI6" s="322" t="s">
        <v>224</v>
      </c>
    </row>
    <row r="7" spans="1:35" ht="15" customHeight="1">
      <c r="A7" s="167" t="s">
        <v>225</v>
      </c>
      <c r="B7" s="323"/>
      <c r="C7" s="323"/>
      <c r="D7" s="323"/>
      <c r="AI7" s="324">
        <f>SUM(C19:D19)</f>
        <v>3876.49</v>
      </c>
    </row>
    <row r="8" spans="1:35" ht="15">
      <c r="A8" s="325" t="s">
        <v>121</v>
      </c>
      <c r="B8" s="326" t="s">
        <v>227</v>
      </c>
      <c r="C8" s="326" t="s">
        <v>228</v>
      </c>
      <c r="D8" s="326" t="s">
        <v>229</v>
      </c>
      <c r="E8" s="327" t="s">
        <v>230</v>
      </c>
      <c r="H8" s="768" t="s">
        <v>226</v>
      </c>
      <c r="I8" s="768"/>
      <c r="J8" s="768"/>
      <c r="K8" s="768"/>
      <c r="L8" s="768"/>
      <c r="M8" s="768"/>
      <c r="AI8" s="324">
        <f>SUM(C20:D20)</f>
        <v>3876.49</v>
      </c>
    </row>
    <row r="9" spans="1:12" ht="15">
      <c r="A9" s="325" t="s">
        <v>30</v>
      </c>
      <c r="B9" s="331" t="s">
        <v>232</v>
      </c>
      <c r="C9" s="332">
        <v>755.39</v>
      </c>
      <c r="D9" s="332">
        <v>335</v>
      </c>
      <c r="E9" s="333">
        <f>(2*D9)</f>
        <v>670</v>
      </c>
      <c r="H9" s="328" t="s">
        <v>121</v>
      </c>
      <c r="I9" s="329" t="s">
        <v>227</v>
      </c>
      <c r="J9" s="330" t="s">
        <v>134</v>
      </c>
      <c r="K9" s="330" t="s">
        <v>231</v>
      </c>
      <c r="L9" s="330" t="s">
        <v>146</v>
      </c>
    </row>
    <row r="10" spans="1:12" ht="15">
      <c r="A10" s="325" t="s">
        <v>165</v>
      </c>
      <c r="B10" s="331" t="s">
        <v>233</v>
      </c>
      <c r="C10" s="332">
        <v>2373.01</v>
      </c>
      <c r="D10" s="332">
        <v>587.5</v>
      </c>
      <c r="E10" s="324">
        <f>(2*D10)</f>
        <v>1175</v>
      </c>
      <c r="H10" s="325" t="s">
        <v>30</v>
      </c>
      <c r="I10" s="331" t="s">
        <v>232</v>
      </c>
      <c r="J10" s="331">
        <v>4</v>
      </c>
      <c r="K10" s="334">
        <v>125000</v>
      </c>
      <c r="L10" s="335">
        <f>(SUM(C9,E9)*J10)/K10</f>
        <v>0.04561248</v>
      </c>
    </row>
    <row r="11" spans="8:12" ht="15">
      <c r="H11" s="325" t="s">
        <v>165</v>
      </c>
      <c r="I11" s="331" t="s">
        <v>233</v>
      </c>
      <c r="J11" s="331">
        <v>4</v>
      </c>
      <c r="K11" s="334">
        <v>125000</v>
      </c>
      <c r="L11" s="335">
        <f>(SUM(C10,E10)*J11)/K11</f>
        <v>0.11353632000000001</v>
      </c>
    </row>
    <row r="12" spans="1:12" ht="15" customHeight="1">
      <c r="A12" s="167" t="s">
        <v>234</v>
      </c>
      <c r="B12" s="323"/>
      <c r="C12" s="323"/>
      <c r="D12" s="323"/>
      <c r="G12" s="768"/>
      <c r="H12" s="768"/>
      <c r="I12" s="768"/>
      <c r="J12" s="768"/>
      <c r="K12" s="768"/>
      <c r="L12" s="768"/>
    </row>
    <row r="13" spans="1:11" ht="15">
      <c r="A13" s="328" t="s">
        <v>116</v>
      </c>
      <c r="B13" s="328" t="s">
        <v>235</v>
      </c>
      <c r="C13" s="328" t="s">
        <v>236</v>
      </c>
      <c r="D13" s="328" t="s">
        <v>146</v>
      </c>
      <c r="G13" s="167"/>
      <c r="H13" s="336"/>
      <c r="I13" s="340" t="s">
        <v>279</v>
      </c>
      <c r="J13" s="323"/>
      <c r="K13" s="323"/>
    </row>
    <row r="14" spans="1:11" ht="15">
      <c r="A14" s="325" t="s">
        <v>30</v>
      </c>
      <c r="B14" s="326">
        <v>5000</v>
      </c>
      <c r="C14" s="337">
        <v>8</v>
      </c>
      <c r="D14" s="338">
        <f>ROUND(C14/B14,6)</f>
        <v>0.0016</v>
      </c>
      <c r="G14" s="158"/>
      <c r="I14" s="340" t="s">
        <v>284</v>
      </c>
      <c r="J14" s="341"/>
      <c r="K14" s="342"/>
    </row>
    <row r="15" spans="1:11" ht="15">
      <c r="A15" s="325" t="s">
        <v>165</v>
      </c>
      <c r="B15" s="326">
        <v>5000</v>
      </c>
      <c r="C15" s="337">
        <v>15</v>
      </c>
      <c r="D15" s="338">
        <f>ROUND(C15/B15,6)</f>
        <v>0.003</v>
      </c>
      <c r="G15" s="441"/>
      <c r="H15" s="340"/>
      <c r="I15" s="340"/>
      <c r="J15" s="341"/>
      <c r="K15" s="342"/>
    </row>
    <row r="16" spans="1:7" ht="15">
      <c r="A16" s="325" t="s">
        <v>278</v>
      </c>
      <c r="B16" s="326">
        <v>5000</v>
      </c>
      <c r="C16" s="337">
        <v>15</v>
      </c>
      <c r="D16" s="338">
        <f>ROUND(C16/B16,6)</f>
        <v>0.003</v>
      </c>
      <c r="G16" s="441"/>
    </row>
    <row r="17" spans="1:7" ht="15">
      <c r="A17" s="167" t="s">
        <v>41</v>
      </c>
      <c r="B17" s="233"/>
      <c r="C17" s="233"/>
      <c r="G17" s="441"/>
    </row>
    <row r="18" spans="1:7" ht="15">
      <c r="A18" s="330" t="s">
        <v>124</v>
      </c>
      <c r="B18" s="330" t="s">
        <v>45</v>
      </c>
      <c r="C18" s="325" t="s">
        <v>237</v>
      </c>
      <c r="D18" s="325" t="s">
        <v>238</v>
      </c>
      <c r="G18" s="441"/>
    </row>
    <row r="19" spans="1:4" ht="15">
      <c r="A19" s="330" t="s">
        <v>30</v>
      </c>
      <c r="B19" s="354">
        <v>2390.03</v>
      </c>
      <c r="C19" s="349">
        <v>2215.56</v>
      </c>
      <c r="D19" s="349">
        <v>1660.93</v>
      </c>
    </row>
    <row r="20" spans="1:4" ht="15">
      <c r="A20" s="330" t="s">
        <v>165</v>
      </c>
      <c r="B20" s="354">
        <v>2390.03</v>
      </c>
      <c r="C20" s="349">
        <v>2215.56</v>
      </c>
      <c r="D20" s="349">
        <v>1660.93</v>
      </c>
    </row>
    <row r="22" spans="1:7" ht="15">
      <c r="A22" s="167" t="s">
        <v>231</v>
      </c>
      <c r="B22" s="323"/>
      <c r="C22" s="323"/>
      <c r="D22" s="323"/>
      <c r="E22" s="323"/>
      <c r="F22" s="323"/>
      <c r="G22" s="323"/>
    </row>
    <row r="23" spans="1:7" ht="15">
      <c r="A23" s="325" t="s">
        <v>121</v>
      </c>
      <c r="B23" s="325" t="s">
        <v>124</v>
      </c>
      <c r="C23" s="325" t="s">
        <v>239</v>
      </c>
      <c r="D23" s="325" t="s">
        <v>240</v>
      </c>
      <c r="E23" s="325" t="s">
        <v>241</v>
      </c>
      <c r="F23" s="330" t="s">
        <v>242</v>
      </c>
      <c r="G23" s="330" t="s">
        <v>243</v>
      </c>
    </row>
    <row r="24" spans="1:8" ht="15">
      <c r="A24" s="325" t="s">
        <v>244</v>
      </c>
      <c r="B24" s="325" t="s">
        <v>125</v>
      </c>
      <c r="C24" s="397">
        <v>99796</v>
      </c>
      <c r="D24" s="343">
        <v>266.67</v>
      </c>
      <c r="E24" s="325">
        <v>10</v>
      </c>
      <c r="F24" s="344">
        <f>((0.01/5000)*C24)</f>
        <v>0.199592</v>
      </c>
      <c r="G24" s="345">
        <f>(((C19+D19)*0.73)*(0.23/5000))</f>
        <v>0.13017253419999997</v>
      </c>
      <c r="H24" s="361"/>
    </row>
    <row r="25" spans="1:8" ht="15">
      <c r="A25" s="325" t="s">
        <v>32</v>
      </c>
      <c r="B25" s="325" t="s">
        <v>125</v>
      </c>
      <c r="C25" s="397">
        <v>150000</v>
      </c>
      <c r="D25" s="343">
        <v>266.67</v>
      </c>
      <c r="E25" s="325">
        <v>10</v>
      </c>
      <c r="F25" s="344">
        <f>((0.01/10000)*C25)</f>
        <v>0.15</v>
      </c>
      <c r="G25" s="345">
        <f>(((D19+D20)*0.73)*(0.23/10000))</f>
        <v>0.0557740294</v>
      </c>
      <c r="H25" s="346"/>
    </row>
    <row r="26" spans="1:16" ht="15">
      <c r="A26" s="325" t="s">
        <v>277</v>
      </c>
      <c r="B26" s="325" t="s">
        <v>125</v>
      </c>
      <c r="C26" s="397">
        <v>150000</v>
      </c>
      <c r="D26" s="343">
        <v>266.67</v>
      </c>
      <c r="E26" s="325">
        <v>10</v>
      </c>
      <c r="F26" s="344">
        <f>((0.01/5000)*C26)</f>
        <v>0.3</v>
      </c>
      <c r="G26" s="345">
        <f>(((D19+D20)*0.73)*(0.23/5000))</f>
        <v>0.1115480588</v>
      </c>
      <c r="L26" s="167"/>
      <c r="M26" s="336"/>
      <c r="N26" s="323"/>
      <c r="O26" s="323"/>
      <c r="P26" s="323"/>
    </row>
    <row r="27" spans="12:16" ht="15">
      <c r="L27" s="339"/>
      <c r="M27" s="340"/>
      <c r="N27" s="340"/>
      <c r="O27" s="341"/>
      <c r="P27" s="342"/>
    </row>
    <row r="28" spans="12:16" ht="15">
      <c r="L28" s="339"/>
      <c r="M28" s="340"/>
      <c r="N28" s="340"/>
      <c r="O28" s="341"/>
      <c r="P28" s="342"/>
    </row>
    <row r="29" spans="12:16" ht="15">
      <c r="L29" s="339"/>
      <c r="M29" s="340"/>
      <c r="N29" s="340"/>
      <c r="O29" s="341"/>
      <c r="P29" s="342"/>
    </row>
  </sheetData>
  <sheetProtection password="CAEE" sheet="1" objects="1" scenarios="1" selectLockedCells="1" selectUnlockedCells="1"/>
  <mergeCells count="2">
    <mergeCell ref="H8:M8"/>
    <mergeCell ref="G12:L1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Poliana</dc:creator>
  <cp:keywords/>
  <dc:description/>
  <cp:lastModifiedBy>Tatiana Grasiele Cardoso Magalhaes</cp:lastModifiedBy>
  <cp:lastPrinted>2023-09-01T17:13:36Z</cp:lastPrinted>
  <dcterms:created xsi:type="dcterms:W3CDTF">2020-02-12T20:11:13Z</dcterms:created>
  <dcterms:modified xsi:type="dcterms:W3CDTF">2023-10-03T14:14:23Z</dcterms:modified>
  <cp:category/>
  <cp:version/>
  <cp:contentType/>
  <cp:contentStatus/>
</cp:coreProperties>
</file>