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ista" sheetId="1" r:id="rId1"/>
    <sheet name="Crono" sheetId="2" r:id="rId2"/>
    <sheet name="Mem" sheetId="3" r:id="rId3"/>
  </sheets>
  <definedNames>
    <definedName name="_xlnm.Print_Area" localSheetId="1">'Crono'!$A$1:$L$39</definedName>
    <definedName name="_xlnm.Print_Area" localSheetId="0">'Pista'!$A$1:$I$88</definedName>
    <definedName name="_xlnm.Print_Titles" localSheetId="2">'Mem'!$1:$8</definedName>
    <definedName name="_xlnm.Print_Titles" localSheetId="0">'Pista'!$2:$8</definedName>
  </definedNames>
  <calcPr fullCalcOnLoad="1"/>
</workbook>
</file>

<file path=xl/sharedStrings.xml><?xml version="1.0" encoding="utf-8"?>
<sst xmlns="http://schemas.openxmlformats.org/spreadsheetml/2006/main" count="407" uniqueCount="242">
  <si>
    <t>m²</t>
  </si>
  <si>
    <t>Item</t>
  </si>
  <si>
    <t>Total</t>
  </si>
  <si>
    <t>Sub Total</t>
  </si>
  <si>
    <t>P. Unit.</t>
  </si>
  <si>
    <t>Quant.</t>
  </si>
  <si>
    <t>Unid</t>
  </si>
  <si>
    <t>Serviço</t>
  </si>
  <si>
    <t>m</t>
  </si>
  <si>
    <t>m³</t>
  </si>
  <si>
    <t>Forma de madeira</t>
  </si>
  <si>
    <t>kg</t>
  </si>
  <si>
    <t>Chapisco</t>
  </si>
  <si>
    <t>R$</t>
  </si>
  <si>
    <t>TOTAL GERAL</t>
  </si>
  <si>
    <t>OBRA</t>
  </si>
  <si>
    <t>PISTA DE BICICROSS</t>
  </si>
  <si>
    <t>1.1</t>
  </si>
  <si>
    <t>1.2</t>
  </si>
  <si>
    <t>PISTA</t>
  </si>
  <si>
    <t>Regularização da pista</t>
  </si>
  <si>
    <t>pto</t>
  </si>
  <si>
    <t>Aterro compactado/ modelação dos obstáculos</t>
  </si>
  <si>
    <t>Acabamento da pista</t>
  </si>
  <si>
    <t>Nivelamento/compactação do terreno</t>
  </si>
  <si>
    <t>Escavação manual</t>
  </si>
  <si>
    <t>Aço CA 50/60</t>
  </si>
  <si>
    <t>Reboco paulista</t>
  </si>
  <si>
    <t>Laje pré moldada p/piso</t>
  </si>
  <si>
    <t>unid</t>
  </si>
  <si>
    <t>Caixa d'Água</t>
  </si>
  <si>
    <t>Alvenaria tijolo cerâmico furado  010</t>
  </si>
  <si>
    <t>Concreto magro</t>
  </si>
  <si>
    <t>Pintura em tinta esmalte</t>
  </si>
  <si>
    <t>Prédio da Administração</t>
  </si>
  <si>
    <t>Locação</t>
  </si>
  <si>
    <t>Nivelamento/compactação fundo de vala</t>
  </si>
  <si>
    <t>Reaterro compactado</t>
  </si>
  <si>
    <t xml:space="preserve">Porta metálica </t>
  </si>
  <si>
    <t>Janela metálica</t>
  </si>
  <si>
    <t>Instalação hidro sanitária</t>
  </si>
  <si>
    <t>Piso cimentado liso queimado</t>
  </si>
  <si>
    <t>Calçada cimentada de proteção</t>
  </si>
  <si>
    <t>Vaso sanitário c/caixa acoplada</t>
  </si>
  <si>
    <t>Lavatório de louça c/coluna</t>
  </si>
  <si>
    <t>Quadro de avisos (cimentado liso queimado)</t>
  </si>
  <si>
    <t>bancada de ardósia 250 x 50 cm</t>
  </si>
  <si>
    <t>1.3</t>
  </si>
  <si>
    <t>1.4</t>
  </si>
  <si>
    <t>1.6</t>
  </si>
  <si>
    <t>1.7</t>
  </si>
  <si>
    <t>1.14</t>
  </si>
  <si>
    <t>1.14.1</t>
  </si>
  <si>
    <t>Padrão Cemig</t>
  </si>
  <si>
    <t>Fornec/Assent. Padrão trifásico de 100A</t>
  </si>
  <si>
    <t>PLANILHA DE CUSTOS</t>
  </si>
  <si>
    <t>ENDEREÇO:</t>
  </si>
  <si>
    <t>MEMÓRIA DE CÁLCULO</t>
  </si>
  <si>
    <t>Av. Bonifácio Machado Miranda, S/N - Santa Mariana - PIRAPORA - MG</t>
  </si>
  <si>
    <t>Código</t>
  </si>
  <si>
    <t>Descrição dos Serviços</t>
  </si>
  <si>
    <t>136,13*88,25</t>
  </si>
  <si>
    <t>Cálculo</t>
  </si>
  <si>
    <t>117,5+17,81+65,18+69,3+(11,04*4)+141,4+(8,16*2)+45,76+9,52+12,29+9,52+79,1+59,85+10,88+10,56+20+8,13+40+(8,13*3)+</t>
  </si>
  <si>
    <t>76,65+12,45+100,63+141,4+8,16+112,32+94+76,43+112</t>
  </si>
  <si>
    <t>(69,09*7,33)+(41,76*4)</t>
  </si>
  <si>
    <t>(20,75+51,48)*10+(98,86*7)+(69,12*7)+(54,62*8)+(69,93*7,33)+(32,92*4)+(55,72*8)+(77,66*7)+(69,23*7)+(29,5*8)+</t>
  </si>
  <si>
    <t>obr-via-125</t>
  </si>
  <si>
    <t>ter-ate-015</t>
  </si>
  <si>
    <t>rev-cha-005</t>
  </si>
  <si>
    <t>loc-obr-015</t>
  </si>
  <si>
    <t>obr-via-075</t>
  </si>
  <si>
    <t>est-for-015</t>
  </si>
  <si>
    <t>pis-cim-005</t>
  </si>
  <si>
    <t>pin-acr-005</t>
  </si>
  <si>
    <t>7</t>
  </si>
  <si>
    <t>Imprimação ( largada, curvas e chegada )</t>
  </si>
  <si>
    <t>(20,75+10)*10+(98,86+41,76+54,64)*16+(20*8)</t>
  </si>
  <si>
    <t>Revestimento TSD (largada, curvas, chegada )</t>
  </si>
  <si>
    <t xml:space="preserve">Tubo PVC azul 50 mm </t>
  </si>
  <si>
    <t>Registro de gaveta 2"</t>
  </si>
  <si>
    <t>Caixa de alv.  60x60</t>
  </si>
  <si>
    <t>Inst. Hidráulica - Drenagem</t>
  </si>
  <si>
    <t>1.7.1</t>
  </si>
  <si>
    <t>1.7.2</t>
  </si>
  <si>
    <t>50,9+63,8+30,12+43,4+20,04</t>
  </si>
  <si>
    <t>Base p/fiscalização ( 2 )</t>
  </si>
  <si>
    <t>(3,1416*1*1)+(2*1)*2</t>
  </si>
  <si>
    <t>Prédio da Adm./Largada</t>
  </si>
  <si>
    <r>
      <t xml:space="preserve">Manilha conc. </t>
    </r>
    <r>
      <rPr>
        <sz val="8"/>
        <rFont val="Calibri"/>
        <family val="2"/>
      </rPr>
      <t>Ø</t>
    </r>
    <r>
      <rPr>
        <sz val="8"/>
        <rFont val="Arial"/>
        <family val="2"/>
      </rPr>
      <t>300 mm</t>
    </r>
  </si>
  <si>
    <t>35,72+17,2+17,36+9,74+11,64+13,4+14,42+34,56</t>
  </si>
  <si>
    <t>Proj. complementares(estrut.,instalações)</t>
  </si>
  <si>
    <t>10*29,72</t>
  </si>
  <si>
    <t>10*29,72*2</t>
  </si>
  <si>
    <t>36*(1*1*1)+((29,72*4)+(9*10)+(2*2,00))*0,2*0,3</t>
  </si>
  <si>
    <t>36*(1*1)+((29,72*4)+(9*10)+(2*2,00))*0,2</t>
  </si>
  <si>
    <t>36*(1*1*,5)+((29,72*4)+(9*10)+(2*2,00))*0,2*0,3</t>
  </si>
  <si>
    <t>36*((0,2*4*0,5)+(0,8*0,8))</t>
  </si>
  <si>
    <t>(36*(1*1*,5)+((29,72*4)+(9*10)+(2*2,00))*0,2*0,3)*40</t>
  </si>
  <si>
    <t>(36*1*1*0,5)+(10*29,72*0,1)</t>
  </si>
  <si>
    <t>(36*0,8*8,5)+(215,00*0,8)*2</t>
  </si>
  <si>
    <t>(36*0,2*0,2*8,5)+(215*0,2*0,4)</t>
  </si>
  <si>
    <t>((36*0,2*0,2*8,5)+(215*0,2*0,4))*80</t>
  </si>
  <si>
    <t>(22,39+7+13,5)*10+(2,00*10)*4+(2,93*1,5)+(3,95+4)*1,5</t>
  </si>
  <si>
    <t>11*0,8*2,1</t>
  </si>
  <si>
    <t>(3*0,6*0,6)+(6*1,5*1)+(7*1,5*0,4)</t>
  </si>
  <si>
    <t>6+6+20+16+6</t>
  </si>
  <si>
    <t>39+22</t>
  </si>
  <si>
    <t>(2+1,2+1,7+2,55+3,9+3,35+4,43+3,35)*2*2</t>
  </si>
  <si>
    <t>(9*5,6)*2+(10+4+3+10+1,2+1)*4,5+(10*2,5/2)+(2*20,72*5,6/2)+(8,5*4,582)+(2,85*5,6)+(3,35*4,5)+2*(1,7*4,5)+(1,5+2,93)*2*1,2</t>
  </si>
  <si>
    <t>456,65*2</t>
  </si>
  <si>
    <t>(29,72+13,2+7)*10+(2*10*4)</t>
  </si>
  <si>
    <t>((30,72*2)+10)*1</t>
  </si>
  <si>
    <t>456,65*2-89,92</t>
  </si>
  <si>
    <t>(18,48+14,28)*2</t>
  </si>
  <si>
    <t>(4*9*2)+1,5+7,95+(2*22,39)+9+6,6+8+2</t>
  </si>
  <si>
    <t>3,5*2</t>
  </si>
  <si>
    <t>dre-tub-005</t>
  </si>
  <si>
    <t>hid-reg-040</t>
  </si>
  <si>
    <t>hid-cxs-060</t>
  </si>
  <si>
    <t>dre-tub-040</t>
  </si>
  <si>
    <t>ter-reg-005</t>
  </si>
  <si>
    <t>pis-con-020</t>
  </si>
  <si>
    <t>Contra piso - 5 cm</t>
  </si>
  <si>
    <t>obr-via-160</t>
  </si>
  <si>
    <t>arm-aço-005</t>
  </si>
  <si>
    <t>fun-las-005</t>
  </si>
  <si>
    <t>est-com-030</t>
  </si>
  <si>
    <t>Concreto estrutural fck=20 MPA</t>
  </si>
  <si>
    <t>alv-tij-025</t>
  </si>
  <si>
    <t>inst-int-005</t>
  </si>
  <si>
    <t>ser-por-050</t>
  </si>
  <si>
    <t>Ponto de luz</t>
  </si>
  <si>
    <t>Ponto de água</t>
  </si>
  <si>
    <t>Pintura acrilica 2 demãos + selador</t>
  </si>
  <si>
    <t>Pintura  esmalte 2 demãos</t>
  </si>
  <si>
    <t>pin--esm-005</t>
  </si>
  <si>
    <t>laj-rev-045</t>
  </si>
  <si>
    <t>imp-asf-005</t>
  </si>
  <si>
    <t>Impermeabilização de laje c/manta 4 mm</t>
  </si>
  <si>
    <t>Portão metálico 80 x 150 cm</t>
  </si>
  <si>
    <t>ser-jan-006</t>
  </si>
  <si>
    <t>vid-lis-010</t>
  </si>
  <si>
    <t>Vidro 4 mm</t>
  </si>
  <si>
    <t>ins-agu-010</t>
  </si>
  <si>
    <t>ponto de água/esgoto</t>
  </si>
  <si>
    <t>ponto de luz</t>
  </si>
  <si>
    <t>Cerâmica 20x20</t>
  </si>
  <si>
    <t>urb-pas-005</t>
  </si>
  <si>
    <t>lou-vas-015</t>
  </si>
  <si>
    <t>Mictório de louça</t>
  </si>
  <si>
    <t>lou-mic-011</t>
  </si>
  <si>
    <t>lou-lav-010</t>
  </si>
  <si>
    <t>hid-dag-015</t>
  </si>
  <si>
    <t>Caixa d'Água 1.000 litros</t>
  </si>
  <si>
    <t>ser-cor-015</t>
  </si>
  <si>
    <t>Guarda corpo c/corrimão tubular</t>
  </si>
  <si>
    <t>ban-ard-010</t>
  </si>
  <si>
    <t>Paulo Cézar de Araújo Neves</t>
  </si>
  <si>
    <t>Eng. Civil CREA-MG 18.457/D</t>
  </si>
  <si>
    <t>CRONOGRAMA FÍSICO FINANCEIRO</t>
  </si>
  <si>
    <t>1.1.2</t>
  </si>
  <si>
    <t>1.1.3</t>
  </si>
  <si>
    <t>1.1.4</t>
  </si>
  <si>
    <t>Serviços Preliminares</t>
  </si>
  <si>
    <t>1.2.1</t>
  </si>
  <si>
    <t>1.2.2</t>
  </si>
  <si>
    <t>1.2.3</t>
  </si>
  <si>
    <t>1.2.4</t>
  </si>
  <si>
    <t>1.2.5</t>
  </si>
  <si>
    <t>1.4.1</t>
  </si>
  <si>
    <t>1.4.2</t>
  </si>
  <si>
    <t>1.7.3</t>
  </si>
  <si>
    <t>Revestimento asfáltico</t>
  </si>
  <si>
    <t>1.7.4</t>
  </si>
  <si>
    <t>1.7.5</t>
  </si>
  <si>
    <t>1.7.6</t>
  </si>
  <si>
    <t>1.7.7</t>
  </si>
  <si>
    <t>1.7.8</t>
  </si>
  <si>
    <t>1.7.9</t>
  </si>
  <si>
    <t>1.7.10</t>
  </si>
  <si>
    <t>1.3.1</t>
  </si>
  <si>
    <t>1.3.2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</si>
  <si>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</si>
  <si>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</si>
  <si>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</si>
  <si>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</si>
  <si>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</si>
  <si>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</si>
  <si>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</si>
  <si>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</si>
  <si>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</si>
  <si>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</si>
  <si>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</si>
  <si>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</si>
  <si>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</si>
  <si>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</si>
  <si>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</si>
  <si>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</si>
  <si>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</si>
  <si>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</si>
  <si>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</si>
  <si>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</si>
  <si>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</si>
  <si>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</si>
  <si>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</si>
  <si>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</si>
  <si>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</si>
  <si>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</si>
  <si>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</si>
  <si>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</si>
  <si>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</si>
  <si>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</si>
  <si>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</si>
  <si>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</si>
  <si>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</si>
  <si>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</si>
  <si>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</si>
  <si>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</si>
  <si>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</si>
  <si>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 xml:space="preserve">   </t>
  </si>
  <si>
    <t>Mês 1</t>
  </si>
  <si>
    <t>Mês 2</t>
  </si>
  <si>
    <t>Mês 3</t>
  </si>
  <si>
    <t>Mês 4</t>
  </si>
  <si>
    <t>Mês 5</t>
  </si>
  <si>
    <t>Mês 6</t>
  </si>
  <si>
    <t>Mês 7</t>
  </si>
  <si>
    <t>FIS</t>
  </si>
  <si>
    <t>FIN</t>
  </si>
  <si>
    <t>(9,13+7)*10+(2,00*10)*2</t>
  </si>
  <si>
    <r>
      <t>PISTA DE BICICROSS 1</t>
    </r>
    <r>
      <rPr>
        <sz val="8"/>
        <rFont val="Calibri"/>
        <family val="2"/>
      </rPr>
      <t>ª</t>
    </r>
    <r>
      <rPr>
        <sz val="8"/>
        <rFont val="Arial"/>
        <family val="2"/>
      </rPr>
      <t xml:space="preserve"> ETAPA </t>
    </r>
  </si>
  <si>
    <t>obr-via-176</t>
  </si>
  <si>
    <t>rev-reb-015</t>
  </si>
  <si>
    <t>inst-agu-010</t>
  </si>
  <si>
    <t xml:space="preserve">Pintura acrilica 2 demãos </t>
  </si>
  <si>
    <t>Preparação parede fundo selador</t>
  </si>
  <si>
    <t>pin-sel-005</t>
  </si>
  <si>
    <t>est-con-030</t>
  </si>
  <si>
    <t>rev-azu-011</t>
  </si>
  <si>
    <t>pin-esm-005</t>
  </si>
  <si>
    <t>ele-pad-030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</si>
</sst>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mmm\-yy"/>
    <numFmt numFmtId="179" formatCode="mmm/yyyy"/>
    <numFmt numFmtId="180" formatCode="[$-416]dddd\,\ d&quot; de &quot;mmmm&quot; de &quot;yyyy"/>
    <numFmt numFmtId="181" formatCode="#,##0.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7"/>
      <color indexed="30"/>
      <name val="Arial"/>
      <family val="2"/>
    </font>
    <font>
      <sz val="10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50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left" vertical="center"/>
    </xf>
    <xf numFmtId="10" fontId="26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vertical="center"/>
    </xf>
    <xf numFmtId="10" fontId="25" fillId="0" borderId="18" xfId="0" applyNumberFormat="1" applyFont="1" applyBorder="1" applyAlignment="1">
      <alignment horizontal="left" vertical="center"/>
    </xf>
    <xf numFmtId="10" fontId="26" fillId="0" borderId="18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10" fontId="25" fillId="0" borderId="23" xfId="0" applyNumberFormat="1" applyFont="1" applyBorder="1" applyAlignment="1">
      <alignment horizontal="left" vertical="center"/>
    </xf>
    <xf numFmtId="4" fontId="4" fillId="0" borderId="24" xfId="0" applyNumberFormat="1" applyFont="1" applyBorder="1" applyAlignment="1">
      <alignment vertical="center"/>
    </xf>
    <xf numFmtId="10" fontId="25" fillId="0" borderId="24" xfId="0" applyNumberFormat="1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0" fontId="25" fillId="0" borderId="19" xfId="0" applyNumberFormat="1" applyFont="1" applyBorder="1" applyAlignment="1">
      <alignment horizontal="left" vertical="center"/>
    </xf>
    <xf numFmtId="10" fontId="25" fillId="0" borderId="20" xfId="0" applyNumberFormat="1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6.00390625" style="8" customWidth="1"/>
    <col min="2" max="2" width="9.00390625" style="23" customWidth="1"/>
    <col min="3" max="3" width="31.00390625" style="8" customWidth="1"/>
    <col min="4" max="4" width="5.00390625" style="8" customWidth="1"/>
    <col min="5" max="6" width="7.57421875" style="8" customWidth="1"/>
    <col min="7" max="7" width="8.140625" style="8" customWidth="1"/>
    <col min="8" max="8" width="8.421875" style="8" customWidth="1"/>
    <col min="9" max="9" width="9.140625" style="8" customWidth="1"/>
    <col min="10" max="10" width="11.421875" style="15" customWidth="1"/>
    <col min="11" max="11" width="10.8515625" style="8" customWidth="1"/>
    <col min="12" max="12" width="10.140625" style="8" bestFit="1" customWidth="1"/>
    <col min="13" max="16384" width="9.140625" style="8" customWidth="1"/>
  </cols>
  <sheetData>
    <row r="1" spans="1:9" ht="28.5" customHeight="1">
      <c r="A1" s="120" t="s">
        <v>55</v>
      </c>
      <c r="B1" s="121"/>
      <c r="C1" s="121"/>
      <c r="D1" s="121"/>
      <c r="E1" s="121"/>
      <c r="F1" s="121"/>
      <c r="G1" s="121"/>
      <c r="H1" s="121"/>
      <c r="I1" s="122"/>
    </row>
    <row r="2" ht="8.25" customHeight="1"/>
    <row r="3" spans="1:9" ht="16.5" customHeight="1">
      <c r="A3" s="29" t="s">
        <v>15</v>
      </c>
      <c r="B3" s="47"/>
      <c r="C3" s="5" t="s">
        <v>231</v>
      </c>
      <c r="D3" s="5"/>
      <c r="E3" s="5"/>
      <c r="F3" s="5"/>
      <c r="G3" s="5"/>
      <c r="H3" s="5"/>
      <c r="I3" s="6"/>
    </row>
    <row r="4" spans="1:9" ht="6.75" customHeight="1">
      <c r="A4" s="12"/>
      <c r="C4" s="13"/>
      <c r="D4" s="13"/>
      <c r="E4" s="13"/>
      <c r="F4" s="13"/>
      <c r="G4" s="13"/>
      <c r="H4" s="13"/>
      <c r="I4" s="30"/>
    </row>
    <row r="5" spans="1:10" ht="16.5" customHeight="1">
      <c r="A5" s="31" t="s">
        <v>56</v>
      </c>
      <c r="B5" s="25"/>
      <c r="C5" s="32" t="s">
        <v>58</v>
      </c>
      <c r="D5" s="32"/>
      <c r="E5" s="32"/>
      <c r="F5" s="32"/>
      <c r="G5" s="32"/>
      <c r="H5" s="32"/>
      <c r="I5" s="33"/>
      <c r="J5" s="35">
        <f>I80</f>
        <v>539965.4555282001</v>
      </c>
    </row>
    <row r="6" ht="8.25" customHeight="1"/>
    <row r="7" spans="1:10" s="13" customFormat="1" ht="15" customHeight="1">
      <c r="A7" s="26" t="s">
        <v>1</v>
      </c>
      <c r="B7" s="27" t="s">
        <v>59</v>
      </c>
      <c r="C7" s="26" t="s">
        <v>60</v>
      </c>
      <c r="D7" s="27" t="s">
        <v>6</v>
      </c>
      <c r="E7" s="34" t="s">
        <v>5</v>
      </c>
      <c r="F7" s="27" t="s">
        <v>4</v>
      </c>
      <c r="G7" s="27"/>
      <c r="H7" s="26" t="s">
        <v>3</v>
      </c>
      <c r="I7" s="28" t="s">
        <v>2</v>
      </c>
      <c r="J7" s="48">
        <v>1.3</v>
      </c>
    </row>
    <row r="8" ht="6.75" customHeight="1"/>
    <row r="9" spans="1:9" ht="11.25" customHeight="1">
      <c r="A9" s="9">
        <v>1</v>
      </c>
      <c r="B9" s="47"/>
      <c r="C9" s="10" t="s">
        <v>19</v>
      </c>
      <c r="D9" s="10"/>
      <c r="E9" s="10"/>
      <c r="F9" s="10"/>
      <c r="G9" s="10"/>
      <c r="H9" s="10"/>
      <c r="I9" s="11">
        <f>SUM(H10:H77)</f>
        <v>539965.4555282001</v>
      </c>
    </row>
    <row r="10" spans="1:9" ht="11.25" customHeight="1">
      <c r="A10" s="36" t="s">
        <v>17</v>
      </c>
      <c r="C10" s="98" t="s">
        <v>164</v>
      </c>
      <c r="D10" s="98"/>
      <c r="E10" s="98"/>
      <c r="F10" s="98"/>
      <c r="G10" s="98"/>
      <c r="H10" s="17">
        <f>SUM(G11:G13)</f>
        <v>127471.64207700001</v>
      </c>
      <c r="I10" s="16"/>
    </row>
    <row r="11" spans="1:11" ht="11.25">
      <c r="A11" s="68" t="s">
        <v>161</v>
      </c>
      <c r="B11" s="23" t="s">
        <v>67</v>
      </c>
      <c r="C11" s="8" t="s">
        <v>20</v>
      </c>
      <c r="D11" s="13" t="s">
        <v>0</v>
      </c>
      <c r="E11" s="15">
        <f>Mem!F10</f>
        <v>12013.4725</v>
      </c>
      <c r="F11" s="15">
        <f aca="true" t="shared" si="0" ref="F11:F64">J11*J$7</f>
        <v>1.534</v>
      </c>
      <c r="G11" s="22">
        <f>E11*F11</f>
        <v>18428.666815</v>
      </c>
      <c r="H11" s="17"/>
      <c r="I11" s="16"/>
      <c r="J11" s="15">
        <v>1.18</v>
      </c>
      <c r="K11" s="15"/>
    </row>
    <row r="12" spans="1:10" ht="11.25">
      <c r="A12" s="68" t="s">
        <v>162</v>
      </c>
      <c r="C12" s="8" t="s">
        <v>22</v>
      </c>
      <c r="D12" s="13" t="s">
        <v>9</v>
      </c>
      <c r="E12" s="15">
        <f>Mem!F11</f>
        <v>1535.71</v>
      </c>
      <c r="F12" s="15">
        <f t="shared" si="0"/>
        <v>53.300000000000004</v>
      </c>
      <c r="G12" s="22">
        <f>E12*F12</f>
        <v>81853.34300000001</v>
      </c>
      <c r="H12" s="17"/>
      <c r="I12" s="16"/>
      <c r="J12" s="15">
        <v>41</v>
      </c>
    </row>
    <row r="13" spans="1:14" ht="11.25">
      <c r="A13" s="68" t="s">
        <v>163</v>
      </c>
      <c r="C13" s="8" t="s">
        <v>23</v>
      </c>
      <c r="D13" s="13" t="s">
        <v>0</v>
      </c>
      <c r="E13" s="15">
        <f>Mem!F13</f>
        <v>5362.846599999999</v>
      </c>
      <c r="F13" s="15">
        <f t="shared" si="0"/>
        <v>5.07</v>
      </c>
      <c r="G13" s="22">
        <f>E13*F13</f>
        <v>27189.632261999996</v>
      </c>
      <c r="H13" s="17"/>
      <c r="I13" s="16"/>
      <c r="J13" s="15">
        <v>3.9</v>
      </c>
      <c r="N13" s="8" t="s">
        <v>220</v>
      </c>
    </row>
    <row r="14" spans="1:9" ht="11.25" customHeight="1">
      <c r="A14" s="36" t="s">
        <v>18</v>
      </c>
      <c r="C14" s="98" t="s">
        <v>82</v>
      </c>
      <c r="D14" s="13"/>
      <c r="E14" s="15"/>
      <c r="F14" s="15"/>
      <c r="G14" s="15"/>
      <c r="H14" s="17">
        <f>SUM(G15:G19)</f>
        <v>15738.650980000002</v>
      </c>
      <c r="I14" s="16"/>
    </row>
    <row r="15" spans="1:10" ht="11.25">
      <c r="A15" s="68" t="s">
        <v>165</v>
      </c>
      <c r="C15" s="8" t="s">
        <v>40</v>
      </c>
      <c r="D15" s="13" t="s">
        <v>21</v>
      </c>
      <c r="E15" s="15">
        <f>Mem!F16</f>
        <v>7</v>
      </c>
      <c r="F15" s="15">
        <f t="shared" si="0"/>
        <v>145.6</v>
      </c>
      <c r="G15" s="15">
        <f>E15*F15</f>
        <v>1019.1999999999999</v>
      </c>
      <c r="H15" s="17"/>
      <c r="I15" s="16"/>
      <c r="J15" s="15">
        <v>112</v>
      </c>
    </row>
    <row r="16" spans="1:10" ht="11.25">
      <c r="A16" s="68" t="s">
        <v>166</v>
      </c>
      <c r="B16" s="23" t="s">
        <v>117</v>
      </c>
      <c r="C16" s="8" t="s">
        <v>79</v>
      </c>
      <c r="D16" s="13" t="s">
        <v>8</v>
      </c>
      <c r="E16" s="15">
        <f>Mem!F17</f>
        <v>208.26</v>
      </c>
      <c r="F16" s="15">
        <f t="shared" si="0"/>
        <v>14.625</v>
      </c>
      <c r="G16" s="15">
        <f>E16*F16</f>
        <v>3045.8025</v>
      </c>
      <c r="H16" s="17"/>
      <c r="I16" s="16"/>
      <c r="J16" s="15">
        <v>11.25</v>
      </c>
    </row>
    <row r="17" spans="1:10" ht="11.25">
      <c r="A17" s="68" t="s">
        <v>167</v>
      </c>
      <c r="B17" s="23" t="s">
        <v>118</v>
      </c>
      <c r="C17" s="8" t="s">
        <v>80</v>
      </c>
      <c r="D17" s="13" t="s">
        <v>29</v>
      </c>
      <c r="E17" s="15">
        <f>Mem!F18</f>
        <v>7</v>
      </c>
      <c r="F17" s="15">
        <f t="shared" si="0"/>
        <v>97.552</v>
      </c>
      <c r="G17" s="15">
        <f>E17*F17</f>
        <v>682.864</v>
      </c>
      <c r="H17" s="17"/>
      <c r="I17" s="16"/>
      <c r="J17" s="15">
        <v>75.04</v>
      </c>
    </row>
    <row r="18" spans="1:10" ht="11.25">
      <c r="A18" s="68" t="s">
        <v>168</v>
      </c>
      <c r="B18" s="23" t="s">
        <v>119</v>
      </c>
      <c r="C18" s="8" t="s">
        <v>81</v>
      </c>
      <c r="D18" s="13" t="s">
        <v>29</v>
      </c>
      <c r="E18" s="15">
        <f>Mem!F19</f>
        <v>12</v>
      </c>
      <c r="F18" s="15">
        <f t="shared" si="0"/>
        <v>294.45</v>
      </c>
      <c r="G18" s="15">
        <f>E18*F18</f>
        <v>3533.3999999999996</v>
      </c>
      <c r="H18" s="17"/>
      <c r="I18" s="16"/>
      <c r="J18" s="15">
        <v>226.5</v>
      </c>
    </row>
    <row r="19" spans="1:10" ht="11.25">
      <c r="A19" s="68" t="s">
        <v>169</v>
      </c>
      <c r="B19" s="23" t="s">
        <v>120</v>
      </c>
      <c r="C19" s="8" t="s">
        <v>89</v>
      </c>
      <c r="D19" s="13" t="s">
        <v>8</v>
      </c>
      <c r="E19" s="15">
        <f>Mem!F20</f>
        <v>154.04000000000002</v>
      </c>
      <c r="F19" s="15">
        <f t="shared" si="0"/>
        <v>48.412000000000006</v>
      </c>
      <c r="G19" s="15">
        <f>E19*F19</f>
        <v>7457.3844800000015</v>
      </c>
      <c r="H19" s="17"/>
      <c r="I19" s="16"/>
      <c r="J19" s="15">
        <v>37.24</v>
      </c>
    </row>
    <row r="20" spans="1:9" ht="11.25">
      <c r="A20" s="36" t="s">
        <v>47</v>
      </c>
      <c r="C20" s="97" t="s">
        <v>86</v>
      </c>
      <c r="D20" s="13"/>
      <c r="E20" s="15"/>
      <c r="F20" s="15"/>
      <c r="G20" s="15"/>
      <c r="H20" s="17">
        <f>SUM(G21:G22)</f>
        <v>397.30171520000005</v>
      </c>
      <c r="I20" s="16"/>
    </row>
    <row r="21" spans="1:10" ht="11.25">
      <c r="A21" s="61" t="s">
        <v>181</v>
      </c>
      <c r="B21" s="23" t="s">
        <v>121</v>
      </c>
      <c r="C21" s="8" t="s">
        <v>24</v>
      </c>
      <c r="D21" s="13" t="s">
        <v>0</v>
      </c>
      <c r="E21" s="15">
        <f>Mem!F22</f>
        <v>10.2832</v>
      </c>
      <c r="F21" s="15">
        <f t="shared" si="0"/>
        <v>4.719</v>
      </c>
      <c r="G21" s="15">
        <f>E21*F21</f>
        <v>48.526420800000004</v>
      </c>
      <c r="H21" s="38"/>
      <c r="I21" s="16"/>
      <c r="J21" s="15">
        <v>3.63</v>
      </c>
    </row>
    <row r="22" spans="1:10" ht="11.25">
      <c r="A22" s="61" t="s">
        <v>182</v>
      </c>
      <c r="B22" s="23" t="s">
        <v>122</v>
      </c>
      <c r="C22" s="8" t="s">
        <v>123</v>
      </c>
      <c r="D22" s="13" t="s">
        <v>0</v>
      </c>
      <c r="E22" s="15">
        <f>Mem!F23</f>
        <v>10.2832</v>
      </c>
      <c r="F22" s="15">
        <f t="shared" si="0"/>
        <v>33.917</v>
      </c>
      <c r="G22" s="15">
        <f>E22*F22</f>
        <v>348.77529440000006</v>
      </c>
      <c r="H22" s="15"/>
      <c r="I22" s="16"/>
      <c r="J22" s="15">
        <v>26.09</v>
      </c>
    </row>
    <row r="23" spans="1:9" ht="11.25">
      <c r="A23" s="36" t="s">
        <v>48</v>
      </c>
      <c r="C23" s="98" t="s">
        <v>173</v>
      </c>
      <c r="D23" s="13"/>
      <c r="E23" s="15"/>
      <c r="F23" s="15"/>
      <c r="G23" s="15"/>
      <c r="H23" s="17">
        <f>SUM(G24:G25)</f>
        <v>44730.533639999994</v>
      </c>
      <c r="I23" s="16"/>
    </row>
    <row r="24" spans="1:10" ht="11.25">
      <c r="A24" s="61" t="s">
        <v>170</v>
      </c>
      <c r="B24" s="23" t="s">
        <v>124</v>
      </c>
      <c r="C24" s="8" t="s">
        <v>76</v>
      </c>
      <c r="D24" s="13" t="s">
        <v>0</v>
      </c>
      <c r="E24" s="15">
        <f>Mem!F25</f>
        <v>3591.66</v>
      </c>
      <c r="F24" s="15">
        <f t="shared" si="0"/>
        <v>3.419</v>
      </c>
      <c r="G24" s="22">
        <f>E24*F24</f>
        <v>12279.88554</v>
      </c>
      <c r="H24" s="17"/>
      <c r="I24" s="16"/>
      <c r="J24" s="15">
        <v>2.63</v>
      </c>
    </row>
    <row r="25" spans="1:10" ht="11.25">
      <c r="A25" s="61" t="s">
        <v>171</v>
      </c>
      <c r="B25" s="23" t="s">
        <v>232</v>
      </c>
      <c r="C25" s="8" t="s">
        <v>78</v>
      </c>
      <c r="D25" s="13" t="s">
        <v>0</v>
      </c>
      <c r="E25" s="15">
        <f>Mem!F26</f>
        <v>3591.66</v>
      </c>
      <c r="F25" s="15">
        <f t="shared" si="0"/>
        <v>9.035</v>
      </c>
      <c r="G25" s="22">
        <f>E25*F25</f>
        <v>32450.6481</v>
      </c>
      <c r="H25" s="17"/>
      <c r="I25" s="16"/>
      <c r="J25" s="15">
        <v>6.95</v>
      </c>
    </row>
    <row r="26" spans="1:9" ht="11.25">
      <c r="A26" s="36" t="s">
        <v>49</v>
      </c>
      <c r="C26" s="97" t="s">
        <v>30</v>
      </c>
      <c r="D26" s="13"/>
      <c r="E26" s="35"/>
      <c r="F26" s="35"/>
      <c r="G26" s="35"/>
      <c r="H26" s="39">
        <f>SUM(G27:G40)</f>
        <v>8814.396110000001</v>
      </c>
      <c r="I26" s="16"/>
    </row>
    <row r="27" spans="1:10" ht="11.25">
      <c r="A27" s="61" t="s">
        <v>183</v>
      </c>
      <c r="B27" s="23" t="s">
        <v>71</v>
      </c>
      <c r="C27" s="8" t="s">
        <v>25</v>
      </c>
      <c r="D27" s="13" t="s">
        <v>0</v>
      </c>
      <c r="E27" s="15">
        <f>Mem!F28</f>
        <v>14.08</v>
      </c>
      <c r="F27" s="15">
        <f t="shared" si="0"/>
        <v>40.339000000000006</v>
      </c>
      <c r="G27" s="15">
        <f>E27*F27</f>
        <v>567.9731200000001</v>
      </c>
      <c r="H27" s="20"/>
      <c r="I27" s="16"/>
      <c r="J27" s="15">
        <v>31.03</v>
      </c>
    </row>
    <row r="28" spans="1:10" ht="11.25">
      <c r="A28" s="61" t="s">
        <v>184</v>
      </c>
      <c r="B28" s="23" t="s">
        <v>72</v>
      </c>
      <c r="C28" s="40" t="s">
        <v>10</v>
      </c>
      <c r="D28" s="13" t="s">
        <v>0</v>
      </c>
      <c r="E28" s="15">
        <f>Mem!F29</f>
        <v>51.2</v>
      </c>
      <c r="F28" s="15">
        <f t="shared" si="0"/>
        <v>61.126000000000005</v>
      </c>
      <c r="G28" s="15">
        <f aca="true" t="shared" si="1" ref="G28:G40">E28*F28</f>
        <v>3129.6512000000002</v>
      </c>
      <c r="H28" s="20"/>
      <c r="I28" s="16"/>
      <c r="J28" s="15">
        <v>47.02</v>
      </c>
    </row>
    <row r="29" spans="1:10" ht="11.25">
      <c r="A29" s="61" t="s">
        <v>185</v>
      </c>
      <c r="B29" s="23" t="s">
        <v>125</v>
      </c>
      <c r="C29" s="40" t="s">
        <v>26</v>
      </c>
      <c r="D29" s="13" t="s">
        <v>11</v>
      </c>
      <c r="E29" s="15">
        <f>Mem!F30</f>
        <v>62.3</v>
      </c>
      <c r="F29" s="15">
        <f t="shared" si="0"/>
        <v>8.242</v>
      </c>
      <c r="G29" s="15">
        <f t="shared" si="1"/>
        <v>513.4766000000001</v>
      </c>
      <c r="H29" s="20"/>
      <c r="I29" s="16"/>
      <c r="J29" s="15">
        <v>6.34</v>
      </c>
    </row>
    <row r="30" spans="1:10" ht="11.25">
      <c r="A30" s="61" t="s">
        <v>186</v>
      </c>
      <c r="B30" s="23" t="s">
        <v>126</v>
      </c>
      <c r="C30" s="40" t="s">
        <v>32</v>
      </c>
      <c r="D30" s="13" t="s">
        <v>9</v>
      </c>
      <c r="E30" s="15">
        <f>Mem!F31</f>
        <v>0.35</v>
      </c>
      <c r="F30" s="15">
        <f t="shared" si="0"/>
        <v>332.189</v>
      </c>
      <c r="G30" s="15">
        <f t="shared" si="1"/>
        <v>116.26615</v>
      </c>
      <c r="H30" s="20"/>
      <c r="I30" s="16"/>
      <c r="J30" s="15">
        <v>255.53</v>
      </c>
    </row>
    <row r="31" spans="1:10" ht="11.25">
      <c r="A31" s="61" t="s">
        <v>187</v>
      </c>
      <c r="B31" s="23" t="s">
        <v>127</v>
      </c>
      <c r="C31" s="40" t="s">
        <v>128</v>
      </c>
      <c r="D31" s="13" t="s">
        <v>9</v>
      </c>
      <c r="E31" s="15">
        <f>Mem!F32</f>
        <v>3.69</v>
      </c>
      <c r="F31" s="15">
        <f t="shared" si="0"/>
        <v>369.876</v>
      </c>
      <c r="G31" s="15">
        <f t="shared" si="1"/>
        <v>1364.84244</v>
      </c>
      <c r="H31" s="20"/>
      <c r="I31" s="16"/>
      <c r="J31" s="15">
        <v>284.52</v>
      </c>
    </row>
    <row r="32" spans="1:10" ht="11.25">
      <c r="A32" s="61" t="s">
        <v>188</v>
      </c>
      <c r="B32" s="23" t="s">
        <v>129</v>
      </c>
      <c r="C32" s="40" t="s">
        <v>31</v>
      </c>
      <c r="D32" s="13" t="s">
        <v>0</v>
      </c>
      <c r="E32" s="15">
        <f>Mem!F33</f>
        <v>6</v>
      </c>
      <c r="F32" s="15">
        <f t="shared" si="0"/>
        <v>29.926000000000002</v>
      </c>
      <c r="G32" s="15">
        <f t="shared" si="1"/>
        <v>179.556</v>
      </c>
      <c r="H32" s="20"/>
      <c r="I32" s="16"/>
      <c r="J32" s="15">
        <v>23.02</v>
      </c>
    </row>
    <row r="33" spans="1:10" ht="11.25">
      <c r="A33" s="61" t="s">
        <v>189</v>
      </c>
      <c r="B33" s="24" t="s">
        <v>69</v>
      </c>
      <c r="C33" s="40" t="s">
        <v>12</v>
      </c>
      <c r="D33" s="13" t="s">
        <v>0</v>
      </c>
      <c r="E33" s="15">
        <f>Mem!F34</f>
        <v>44</v>
      </c>
      <c r="F33" s="15">
        <f t="shared" si="0"/>
        <v>4.797</v>
      </c>
      <c r="G33" s="15">
        <f t="shared" si="1"/>
        <v>211.06799999999998</v>
      </c>
      <c r="H33" s="20"/>
      <c r="I33" s="16"/>
      <c r="J33" s="15">
        <v>3.69</v>
      </c>
    </row>
    <row r="34" spans="1:10" ht="11.25">
      <c r="A34" s="61" t="s">
        <v>190</v>
      </c>
      <c r="B34" s="24" t="s">
        <v>233</v>
      </c>
      <c r="C34" s="40" t="s">
        <v>27</v>
      </c>
      <c r="D34" s="13" t="s">
        <v>0</v>
      </c>
      <c r="E34" s="15">
        <f>Mem!F35</f>
        <v>44</v>
      </c>
      <c r="F34" s="15">
        <f t="shared" si="0"/>
        <v>22.906000000000002</v>
      </c>
      <c r="G34" s="15">
        <f t="shared" si="1"/>
        <v>1007.8640000000001</v>
      </c>
      <c r="H34" s="20"/>
      <c r="I34" s="16"/>
      <c r="J34" s="15">
        <v>17.62</v>
      </c>
    </row>
    <row r="35" spans="1:10" ht="11.25">
      <c r="A35" s="61" t="s">
        <v>191</v>
      </c>
      <c r="B35" s="23" t="s">
        <v>130</v>
      </c>
      <c r="C35" s="40" t="s">
        <v>132</v>
      </c>
      <c r="D35" s="13" t="s">
        <v>21</v>
      </c>
      <c r="E35" s="15">
        <f>Mem!F36</f>
        <v>3</v>
      </c>
      <c r="F35" s="15">
        <f t="shared" si="0"/>
        <v>147.121</v>
      </c>
      <c r="G35" s="15">
        <f t="shared" si="1"/>
        <v>441.36300000000006</v>
      </c>
      <c r="H35" s="20"/>
      <c r="I35" s="16"/>
      <c r="J35" s="15">
        <v>113.17</v>
      </c>
    </row>
    <row r="36" spans="1:10" ht="11.25">
      <c r="A36" s="61" t="s">
        <v>192</v>
      </c>
      <c r="B36" s="23" t="s">
        <v>131</v>
      </c>
      <c r="C36" s="40" t="s">
        <v>140</v>
      </c>
      <c r="D36" s="13" t="s">
        <v>0</v>
      </c>
      <c r="E36" s="15">
        <f>Mem!F37</f>
        <v>1.2</v>
      </c>
      <c r="F36" s="15">
        <f t="shared" si="0"/>
        <v>343.83700000000005</v>
      </c>
      <c r="G36" s="15">
        <f t="shared" si="1"/>
        <v>412.60440000000006</v>
      </c>
      <c r="H36" s="20"/>
      <c r="I36" s="16"/>
      <c r="J36" s="15">
        <v>264.49</v>
      </c>
    </row>
    <row r="37" spans="1:10" ht="11.25">
      <c r="A37" s="61" t="s">
        <v>193</v>
      </c>
      <c r="B37" s="23" t="s">
        <v>234</v>
      </c>
      <c r="C37" s="40" t="s">
        <v>133</v>
      </c>
      <c r="D37" s="13" t="s">
        <v>21</v>
      </c>
      <c r="E37" s="15">
        <f>Mem!F38</f>
        <v>5</v>
      </c>
      <c r="F37" s="15">
        <f t="shared" si="0"/>
        <v>101.14</v>
      </c>
      <c r="G37" s="15">
        <f t="shared" si="1"/>
        <v>505.7</v>
      </c>
      <c r="H37" s="20"/>
      <c r="I37" s="16"/>
      <c r="J37" s="15">
        <v>77.8</v>
      </c>
    </row>
    <row r="38" spans="1:10" ht="11.25">
      <c r="A38" s="61"/>
      <c r="B38" s="23" t="s">
        <v>237</v>
      </c>
      <c r="C38" s="40" t="s">
        <v>236</v>
      </c>
      <c r="D38" s="13" t="s">
        <v>0</v>
      </c>
      <c r="E38" s="15">
        <v>14</v>
      </c>
      <c r="F38" s="15">
        <f t="shared" si="0"/>
        <v>4.394</v>
      </c>
      <c r="G38" s="15">
        <f t="shared" si="1"/>
        <v>61.516000000000005</v>
      </c>
      <c r="H38" s="20"/>
      <c r="I38" s="16"/>
      <c r="J38" s="15">
        <v>3.38</v>
      </c>
    </row>
    <row r="39" spans="1:10" ht="11.25">
      <c r="A39" s="61" t="s">
        <v>194</v>
      </c>
      <c r="B39" s="23" t="s">
        <v>74</v>
      </c>
      <c r="C39" s="40" t="s">
        <v>235</v>
      </c>
      <c r="D39" s="13" t="s">
        <v>0</v>
      </c>
      <c r="E39" s="15">
        <f>Mem!F39</f>
        <v>14</v>
      </c>
      <c r="F39" s="15">
        <f t="shared" si="0"/>
        <v>12.48</v>
      </c>
      <c r="G39" s="15">
        <f t="shared" si="1"/>
        <v>174.72</v>
      </c>
      <c r="H39" s="20"/>
      <c r="I39" s="16"/>
      <c r="J39" s="15">
        <v>9.6</v>
      </c>
    </row>
    <row r="40" spans="1:10" ht="11.25">
      <c r="A40" s="61" t="s">
        <v>195</v>
      </c>
      <c r="B40" s="23" t="s">
        <v>136</v>
      </c>
      <c r="C40" s="40" t="s">
        <v>135</v>
      </c>
      <c r="D40" s="13" t="s">
        <v>0</v>
      </c>
      <c r="E40" s="15">
        <f>Mem!F40</f>
        <v>6.4</v>
      </c>
      <c r="F40" s="15">
        <f t="shared" si="0"/>
        <v>19.968</v>
      </c>
      <c r="G40" s="15">
        <f t="shared" si="1"/>
        <v>127.79520000000001</v>
      </c>
      <c r="H40" s="20"/>
      <c r="I40" s="16"/>
      <c r="J40" s="15">
        <v>15.36</v>
      </c>
    </row>
    <row r="41" spans="1:9" ht="11.25">
      <c r="A41" s="36" t="s">
        <v>50</v>
      </c>
      <c r="C41" s="97" t="s">
        <v>88</v>
      </c>
      <c r="D41" s="13"/>
      <c r="E41" s="35"/>
      <c r="F41" s="35"/>
      <c r="G41" s="35"/>
      <c r="H41" s="39">
        <f>SUM(G42:G76)</f>
        <v>339168.30300600006</v>
      </c>
      <c r="I41" s="16"/>
    </row>
    <row r="42" spans="1:10" ht="11.25">
      <c r="A42" s="61" t="s">
        <v>83</v>
      </c>
      <c r="B42" s="23" t="s">
        <v>70</v>
      </c>
      <c r="C42" s="8" t="s">
        <v>35</v>
      </c>
      <c r="D42" s="13" t="s">
        <v>0</v>
      </c>
      <c r="E42" s="15">
        <f>Mem!F42</f>
        <v>297.2</v>
      </c>
      <c r="F42" s="15">
        <f t="shared" si="0"/>
        <v>5.941000000000001</v>
      </c>
      <c r="G42" s="15">
        <f>E42*F42</f>
        <v>1765.6652000000001</v>
      </c>
      <c r="H42" s="20"/>
      <c r="I42" s="16"/>
      <c r="J42" s="15">
        <v>4.57</v>
      </c>
    </row>
    <row r="43" spans="1:10" ht="11.25">
      <c r="A43" s="61" t="s">
        <v>84</v>
      </c>
      <c r="C43" s="8" t="s">
        <v>91</v>
      </c>
      <c r="D43" s="13" t="s">
        <v>0</v>
      </c>
      <c r="E43" s="15">
        <f>Mem!F43</f>
        <v>594.4</v>
      </c>
      <c r="F43" s="15">
        <f t="shared" si="0"/>
        <v>19.5</v>
      </c>
      <c r="G43" s="22">
        <f>E43*F43</f>
        <v>11590.8</v>
      </c>
      <c r="H43" s="20"/>
      <c r="I43" s="16"/>
      <c r="J43" s="15">
        <v>15</v>
      </c>
    </row>
    <row r="44" spans="1:10" ht="11.25">
      <c r="A44" s="61" t="s">
        <v>172</v>
      </c>
      <c r="B44" s="23" t="s">
        <v>71</v>
      </c>
      <c r="C44" s="8" t="s">
        <v>25</v>
      </c>
      <c r="D44" s="13" t="s">
        <v>0</v>
      </c>
      <c r="E44" s="15">
        <f>Mem!F44</f>
        <v>48.772800000000004</v>
      </c>
      <c r="F44" s="15">
        <f t="shared" si="0"/>
        <v>40.339000000000006</v>
      </c>
      <c r="G44" s="15">
        <f>E44*F44</f>
        <v>1967.4459792000005</v>
      </c>
      <c r="H44" s="20"/>
      <c r="I44" s="16"/>
      <c r="J44" s="15">
        <f>J27</f>
        <v>31.03</v>
      </c>
    </row>
    <row r="45" spans="1:10" ht="11.25">
      <c r="A45" s="61" t="s">
        <v>174</v>
      </c>
      <c r="B45" s="23" t="s">
        <v>121</v>
      </c>
      <c r="C45" s="8" t="s">
        <v>36</v>
      </c>
      <c r="D45" s="13" t="s">
        <v>0</v>
      </c>
      <c r="E45" s="15">
        <f>Mem!F45</f>
        <v>78.576</v>
      </c>
      <c r="F45" s="15">
        <f t="shared" si="0"/>
        <v>4.719</v>
      </c>
      <c r="G45" s="15">
        <f>E45*F45</f>
        <v>370.800144</v>
      </c>
      <c r="H45" s="20"/>
      <c r="I45" s="16"/>
      <c r="J45" s="15">
        <v>3.63</v>
      </c>
    </row>
    <row r="46" spans="1:10" ht="11.25">
      <c r="A46" s="61" t="s">
        <v>175</v>
      </c>
      <c r="B46" s="23" t="s">
        <v>238</v>
      </c>
      <c r="C46" s="40" t="s">
        <v>128</v>
      </c>
      <c r="D46" s="13" t="s">
        <v>9</v>
      </c>
      <c r="E46" s="15">
        <f>Mem!F46</f>
        <v>30.7728</v>
      </c>
      <c r="F46" s="15">
        <f t="shared" si="0"/>
        <v>369.876</v>
      </c>
      <c r="G46" s="22">
        <f>E46*F46</f>
        <v>11382.1201728</v>
      </c>
      <c r="H46" s="20"/>
      <c r="I46" s="16"/>
      <c r="J46" s="15">
        <f>J31</f>
        <v>284.52</v>
      </c>
    </row>
    <row r="47" spans="1:10" ht="11.25">
      <c r="A47" s="61" t="s">
        <v>176</v>
      </c>
      <c r="B47" s="23" t="s">
        <v>72</v>
      </c>
      <c r="C47" s="40" t="s">
        <v>10</v>
      </c>
      <c r="D47" s="13" t="s">
        <v>0</v>
      </c>
      <c r="E47" s="15">
        <f>Mem!F47</f>
        <v>37.44</v>
      </c>
      <c r="F47" s="15">
        <f t="shared" si="0"/>
        <v>61.126000000000005</v>
      </c>
      <c r="G47" s="15">
        <f aca="true" t="shared" si="2" ref="G47:G76">E47*F47</f>
        <v>2288.55744</v>
      </c>
      <c r="H47" s="20"/>
      <c r="I47" s="16"/>
      <c r="J47" s="15">
        <f>J28</f>
        <v>47.02</v>
      </c>
    </row>
    <row r="48" spans="1:10" ht="11.25">
      <c r="A48" s="61" t="s">
        <v>177</v>
      </c>
      <c r="B48" s="23" t="s">
        <v>125</v>
      </c>
      <c r="C48" s="40" t="s">
        <v>26</v>
      </c>
      <c r="D48" s="13" t="s">
        <v>11</v>
      </c>
      <c r="E48" s="15">
        <f>Mem!F48</f>
        <v>1230.912</v>
      </c>
      <c r="F48" s="15">
        <f t="shared" si="0"/>
        <v>8.242</v>
      </c>
      <c r="G48" s="15">
        <f t="shared" si="2"/>
        <v>10145.176704000001</v>
      </c>
      <c r="H48" s="20"/>
      <c r="I48" s="16"/>
      <c r="J48" s="15">
        <f>J29</f>
        <v>6.34</v>
      </c>
    </row>
    <row r="49" spans="1:10" ht="11.25">
      <c r="A49" s="61" t="s">
        <v>178</v>
      </c>
      <c r="B49" s="23" t="s">
        <v>68</v>
      </c>
      <c r="C49" s="40" t="s">
        <v>37</v>
      </c>
      <c r="D49" s="13" t="s">
        <v>9</v>
      </c>
      <c r="E49" s="15">
        <f>Mem!F49</f>
        <v>47.72</v>
      </c>
      <c r="F49" s="15">
        <f t="shared" si="0"/>
        <v>32.552</v>
      </c>
      <c r="G49" s="15">
        <f t="shared" si="2"/>
        <v>1553.3814399999999</v>
      </c>
      <c r="H49" s="20"/>
      <c r="I49" s="16"/>
      <c r="J49" s="15">
        <v>25.04</v>
      </c>
    </row>
    <row r="50" spans="1:10" ht="11.25">
      <c r="A50" s="61" t="s">
        <v>179</v>
      </c>
      <c r="B50" s="23" t="s">
        <v>122</v>
      </c>
      <c r="C50" s="8" t="s">
        <v>123</v>
      </c>
      <c r="D50" s="13" t="s">
        <v>0</v>
      </c>
      <c r="E50" s="15">
        <f>Mem!F50</f>
        <v>297.2</v>
      </c>
      <c r="F50" s="15">
        <f t="shared" si="0"/>
        <v>33.800000000000004</v>
      </c>
      <c r="G50" s="15">
        <f t="shared" si="2"/>
        <v>10045.36</v>
      </c>
      <c r="H50" s="20"/>
      <c r="I50" s="16"/>
      <c r="J50" s="15">
        <v>26</v>
      </c>
    </row>
    <row r="51" spans="1:10" ht="11.25">
      <c r="A51" s="61" t="s">
        <v>180</v>
      </c>
      <c r="B51" s="23" t="s">
        <v>129</v>
      </c>
      <c r="C51" s="40" t="s">
        <v>31</v>
      </c>
      <c r="D51" s="13" t="s">
        <v>0</v>
      </c>
      <c r="E51" s="15">
        <f>Mem!F51</f>
        <v>456.64599999999996</v>
      </c>
      <c r="F51" s="15">
        <f t="shared" si="0"/>
        <v>29.926000000000002</v>
      </c>
      <c r="G51" s="22">
        <f t="shared" si="2"/>
        <v>13665.588195999999</v>
      </c>
      <c r="H51" s="20"/>
      <c r="I51" s="16"/>
      <c r="J51" s="15">
        <f>J32</f>
        <v>23.02</v>
      </c>
    </row>
    <row r="52" spans="1:10" ht="11.25">
      <c r="A52" s="61" t="s">
        <v>196</v>
      </c>
      <c r="B52" s="23" t="s">
        <v>72</v>
      </c>
      <c r="C52" s="40" t="s">
        <v>10</v>
      </c>
      <c r="D52" s="13" t="s">
        <v>0</v>
      </c>
      <c r="E52" s="15">
        <f>Mem!F52</f>
        <v>588.8</v>
      </c>
      <c r="F52" s="15">
        <f t="shared" si="0"/>
        <v>61.126000000000005</v>
      </c>
      <c r="G52" s="22">
        <f t="shared" si="2"/>
        <v>35990.9888</v>
      </c>
      <c r="H52" s="20"/>
      <c r="I52" s="16"/>
      <c r="J52" s="15">
        <f>J47</f>
        <v>47.02</v>
      </c>
    </row>
    <row r="53" spans="1:10" ht="11.25">
      <c r="A53" s="61" t="s">
        <v>197</v>
      </c>
      <c r="B53" s="23" t="s">
        <v>125</v>
      </c>
      <c r="C53" s="40" t="s">
        <v>26</v>
      </c>
      <c r="D53" s="13" t="s">
        <v>11</v>
      </c>
      <c r="E53" s="15">
        <f>Mem!F53</f>
        <v>2355.2000000000003</v>
      </c>
      <c r="F53" s="15">
        <f t="shared" si="0"/>
        <v>8.242</v>
      </c>
      <c r="G53" s="22">
        <f t="shared" si="2"/>
        <v>19411.558400000005</v>
      </c>
      <c r="H53" s="20"/>
      <c r="I53" s="16"/>
      <c r="J53" s="15">
        <f>J48</f>
        <v>6.34</v>
      </c>
    </row>
    <row r="54" spans="1:10" ht="11.25">
      <c r="A54" s="61" t="s">
        <v>198</v>
      </c>
      <c r="B54" s="23" t="s">
        <v>127</v>
      </c>
      <c r="C54" s="40" t="s">
        <v>128</v>
      </c>
      <c r="D54" s="13" t="s">
        <v>9</v>
      </c>
      <c r="E54" s="15">
        <f>Mem!F54</f>
        <v>29.44</v>
      </c>
      <c r="F54" s="15">
        <f t="shared" si="0"/>
        <v>369.876</v>
      </c>
      <c r="G54" s="22">
        <f t="shared" si="2"/>
        <v>10889.14944</v>
      </c>
      <c r="H54" s="20"/>
      <c r="I54" s="16"/>
      <c r="J54" s="15">
        <f>J31</f>
        <v>284.52</v>
      </c>
    </row>
    <row r="55" spans="1:10" ht="11.25">
      <c r="A55" s="61" t="s">
        <v>199</v>
      </c>
      <c r="B55" s="23" t="s">
        <v>137</v>
      </c>
      <c r="C55" s="40" t="s">
        <v>28</v>
      </c>
      <c r="D55" s="13" t="s">
        <v>0</v>
      </c>
      <c r="E55" s="15">
        <f>Mem!F55</f>
        <v>525.2199999999999</v>
      </c>
      <c r="F55" s="15">
        <f t="shared" si="0"/>
        <v>81.614</v>
      </c>
      <c r="G55" s="22">
        <f t="shared" si="2"/>
        <v>42865.30508</v>
      </c>
      <c r="H55" s="20"/>
      <c r="I55" s="16"/>
      <c r="J55" s="15">
        <v>62.78</v>
      </c>
    </row>
    <row r="56" spans="1:10" ht="11.25">
      <c r="A56" s="61" t="s">
        <v>200</v>
      </c>
      <c r="B56" s="23" t="s">
        <v>138</v>
      </c>
      <c r="C56" s="40" t="s">
        <v>139</v>
      </c>
      <c r="D56" s="13" t="s">
        <v>0</v>
      </c>
      <c r="E56" s="15">
        <f>Mem!F56</f>
        <v>201.3</v>
      </c>
      <c r="F56" s="15">
        <f t="shared" si="0"/>
        <v>46.864999999999995</v>
      </c>
      <c r="G56" s="22">
        <f t="shared" si="2"/>
        <v>9433.9245</v>
      </c>
      <c r="H56" s="20"/>
      <c r="I56" s="16"/>
      <c r="J56" s="15">
        <v>36.05</v>
      </c>
    </row>
    <row r="57" spans="1:10" ht="11.25">
      <c r="A57" s="61" t="s">
        <v>201</v>
      </c>
      <c r="B57" s="23" t="s">
        <v>131</v>
      </c>
      <c r="C57" s="40" t="s">
        <v>38</v>
      </c>
      <c r="D57" s="13" t="s">
        <v>0</v>
      </c>
      <c r="E57" s="15">
        <f>Mem!F57</f>
        <v>18.480000000000004</v>
      </c>
      <c r="F57" s="15">
        <f t="shared" si="0"/>
        <v>343.83700000000005</v>
      </c>
      <c r="G57" s="15">
        <f t="shared" si="2"/>
        <v>6354.107760000003</v>
      </c>
      <c r="H57" s="20"/>
      <c r="I57" s="16"/>
      <c r="J57" s="15">
        <v>264.49</v>
      </c>
    </row>
    <row r="58" spans="1:10" ht="11.25">
      <c r="A58" s="61" t="s">
        <v>202</v>
      </c>
      <c r="B58" s="23" t="s">
        <v>141</v>
      </c>
      <c r="C58" s="40" t="s">
        <v>39</v>
      </c>
      <c r="D58" s="13" t="s">
        <v>0</v>
      </c>
      <c r="E58" s="15">
        <f>Mem!F58</f>
        <v>14.280000000000001</v>
      </c>
      <c r="F58" s="15">
        <f t="shared" si="0"/>
        <v>308.03499999999997</v>
      </c>
      <c r="G58" s="15">
        <f t="shared" si="2"/>
        <v>4398.7398</v>
      </c>
      <c r="H58" s="20"/>
      <c r="I58" s="16"/>
      <c r="J58" s="15">
        <v>236.95</v>
      </c>
    </row>
    <row r="59" spans="1:10" ht="11.25">
      <c r="A59" s="61" t="s">
        <v>203</v>
      </c>
      <c r="B59" s="23" t="s">
        <v>142</v>
      </c>
      <c r="C59" s="40" t="s">
        <v>143</v>
      </c>
      <c r="D59" s="13" t="s">
        <v>0</v>
      </c>
      <c r="E59" s="15">
        <f>Mem!F59</f>
        <v>14.280000000000001</v>
      </c>
      <c r="F59" s="15">
        <f t="shared" si="0"/>
        <v>60.255</v>
      </c>
      <c r="G59" s="15">
        <f t="shared" si="2"/>
        <v>860.4414000000002</v>
      </c>
      <c r="H59" s="20"/>
      <c r="I59" s="16"/>
      <c r="J59" s="15">
        <v>46.35</v>
      </c>
    </row>
    <row r="60" spans="1:10" ht="11.25">
      <c r="A60" s="61" t="s">
        <v>204</v>
      </c>
      <c r="B60" s="23" t="s">
        <v>144</v>
      </c>
      <c r="C60" s="40" t="s">
        <v>145</v>
      </c>
      <c r="D60" s="13" t="s">
        <v>21</v>
      </c>
      <c r="E60" s="15">
        <f>Mem!F60</f>
        <v>54</v>
      </c>
      <c r="F60" s="15">
        <f t="shared" si="0"/>
        <v>101.14</v>
      </c>
      <c r="G60" s="15">
        <f t="shared" si="2"/>
        <v>5461.56</v>
      </c>
      <c r="H60" s="20"/>
      <c r="I60" s="16"/>
      <c r="J60" s="15">
        <f>J37</f>
        <v>77.8</v>
      </c>
    </row>
    <row r="61" spans="1:10" ht="11.25">
      <c r="A61" s="61" t="s">
        <v>205</v>
      </c>
      <c r="B61" s="23" t="s">
        <v>130</v>
      </c>
      <c r="C61" s="40" t="s">
        <v>146</v>
      </c>
      <c r="D61" s="13" t="s">
        <v>21</v>
      </c>
      <c r="E61" s="15">
        <f>Mem!F61</f>
        <v>61</v>
      </c>
      <c r="F61" s="15">
        <f t="shared" si="0"/>
        <v>147.121</v>
      </c>
      <c r="G61" s="15">
        <f t="shared" si="2"/>
        <v>8974.381000000001</v>
      </c>
      <c r="H61" s="20"/>
      <c r="I61" s="16"/>
      <c r="J61" s="15">
        <f>J35</f>
        <v>113.17</v>
      </c>
    </row>
    <row r="62" spans="1:10" ht="11.25">
      <c r="A62" s="61" t="s">
        <v>206</v>
      </c>
      <c r="B62" s="24" t="s">
        <v>69</v>
      </c>
      <c r="C62" s="40" t="s">
        <v>12</v>
      </c>
      <c r="D62" s="13" t="s">
        <v>0</v>
      </c>
      <c r="E62" s="15">
        <f>Mem!F62</f>
        <v>913.3</v>
      </c>
      <c r="F62" s="15">
        <f t="shared" si="0"/>
        <v>4.797</v>
      </c>
      <c r="G62" s="15">
        <f t="shared" si="2"/>
        <v>4381.1001</v>
      </c>
      <c r="H62" s="20"/>
      <c r="I62" s="16"/>
      <c r="J62" s="15">
        <f>J33</f>
        <v>3.69</v>
      </c>
    </row>
    <row r="63" spans="1:10" ht="11.25">
      <c r="A63" s="61" t="s">
        <v>207</v>
      </c>
      <c r="B63" s="24" t="s">
        <v>233</v>
      </c>
      <c r="C63" s="40" t="s">
        <v>27</v>
      </c>
      <c r="D63" s="13" t="s">
        <v>0</v>
      </c>
      <c r="E63" s="15">
        <f>Mem!F63</f>
        <v>913.3</v>
      </c>
      <c r="F63" s="15">
        <f t="shared" si="0"/>
        <v>22.906000000000002</v>
      </c>
      <c r="G63" s="22">
        <f t="shared" si="2"/>
        <v>20920.0498</v>
      </c>
      <c r="H63" s="20"/>
      <c r="I63" s="16"/>
      <c r="J63" s="15">
        <f>J34</f>
        <v>17.62</v>
      </c>
    </row>
    <row r="64" spans="1:10" ht="11.25">
      <c r="A64" s="61" t="s">
        <v>208</v>
      </c>
      <c r="B64" s="23" t="s">
        <v>239</v>
      </c>
      <c r="C64" s="40" t="s">
        <v>147</v>
      </c>
      <c r="D64" s="13" t="s">
        <v>0</v>
      </c>
      <c r="E64" s="15">
        <f>Mem!F64</f>
        <v>89.92</v>
      </c>
      <c r="F64" s="15">
        <f t="shared" si="0"/>
        <v>66.05300000000001</v>
      </c>
      <c r="G64" s="15">
        <f t="shared" si="2"/>
        <v>5939.485760000001</v>
      </c>
      <c r="H64" s="20"/>
      <c r="I64" s="16"/>
      <c r="J64" s="15">
        <v>50.81</v>
      </c>
    </row>
    <row r="65" spans="1:10" ht="11.25">
      <c r="A65" s="61" t="s">
        <v>209</v>
      </c>
      <c r="B65" s="23" t="s">
        <v>73</v>
      </c>
      <c r="C65" s="40" t="s">
        <v>41</v>
      </c>
      <c r="D65" s="13" t="s">
        <v>0</v>
      </c>
      <c r="E65" s="15">
        <f>Mem!F65</f>
        <v>579.2</v>
      </c>
      <c r="F65" s="15">
        <f aca="true" t="shared" si="3" ref="F65:F76">J65*J$7</f>
        <v>29.614</v>
      </c>
      <c r="G65" s="22">
        <f t="shared" si="2"/>
        <v>17152.4288</v>
      </c>
      <c r="H65" s="20"/>
      <c r="I65" s="16"/>
      <c r="J65" s="15">
        <v>22.78</v>
      </c>
    </row>
    <row r="66" spans="1:10" ht="11.25">
      <c r="A66" s="61" t="s">
        <v>210</v>
      </c>
      <c r="B66" s="23" t="s">
        <v>148</v>
      </c>
      <c r="C66" s="40" t="s">
        <v>42</v>
      </c>
      <c r="D66" s="13" t="s">
        <v>0</v>
      </c>
      <c r="E66" s="15">
        <f>Mem!F66</f>
        <v>71.44</v>
      </c>
      <c r="F66" s="15">
        <f t="shared" si="3"/>
        <v>35.88</v>
      </c>
      <c r="G66" s="15">
        <f t="shared" si="2"/>
        <v>2563.2672000000002</v>
      </c>
      <c r="H66" s="20"/>
      <c r="I66" s="16"/>
      <c r="J66" s="15">
        <v>27.6</v>
      </c>
    </row>
    <row r="67" spans="1:10" ht="11.25">
      <c r="A67" s="61"/>
      <c r="B67" s="23" t="str">
        <f>B38</f>
        <v>pin-sel-005</v>
      </c>
      <c r="C67" s="40" t="str">
        <f>C38</f>
        <v>Preparação parede fundo selador</v>
      </c>
      <c r="D67" s="13" t="s">
        <v>0</v>
      </c>
      <c r="E67" s="15">
        <f>E68</f>
        <v>823.38</v>
      </c>
      <c r="F67" s="15">
        <f>J67*J$7</f>
        <v>4.394</v>
      </c>
      <c r="G67" s="15">
        <f>E67*F67</f>
        <v>3617.93172</v>
      </c>
      <c r="H67" s="20"/>
      <c r="I67" s="16"/>
      <c r="J67" s="15">
        <f>J38</f>
        <v>3.38</v>
      </c>
    </row>
    <row r="68" spans="1:10" ht="11.25">
      <c r="A68" s="61" t="s">
        <v>211</v>
      </c>
      <c r="B68" s="23" t="s">
        <v>74</v>
      </c>
      <c r="C68" s="40" t="s">
        <v>134</v>
      </c>
      <c r="D68" s="13" t="s">
        <v>0</v>
      </c>
      <c r="E68" s="15">
        <f>Mem!F67</f>
        <v>823.38</v>
      </c>
      <c r="F68" s="15">
        <f t="shared" si="3"/>
        <v>12.48</v>
      </c>
      <c r="G68" s="22">
        <f t="shared" si="2"/>
        <v>10275.7824</v>
      </c>
      <c r="H68" s="20"/>
      <c r="I68" s="16"/>
      <c r="J68" s="15">
        <f>J39</f>
        <v>9.6</v>
      </c>
    </row>
    <row r="69" spans="1:10" ht="11.25">
      <c r="A69" s="61" t="s">
        <v>212</v>
      </c>
      <c r="B69" s="23" t="s">
        <v>240</v>
      </c>
      <c r="C69" s="40" t="s">
        <v>33</v>
      </c>
      <c r="D69" s="13" t="s">
        <v>0</v>
      </c>
      <c r="E69" s="15">
        <f>Mem!F68</f>
        <v>65.52</v>
      </c>
      <c r="F69" s="15">
        <f t="shared" si="3"/>
        <v>19.968</v>
      </c>
      <c r="G69" s="15">
        <f t="shared" si="2"/>
        <v>1308.3033599999999</v>
      </c>
      <c r="H69" s="20"/>
      <c r="I69" s="16"/>
      <c r="J69" s="15">
        <f>J40</f>
        <v>15.36</v>
      </c>
    </row>
    <row r="70" spans="1:10" ht="11.25">
      <c r="A70" s="63" t="s">
        <v>213</v>
      </c>
      <c r="B70" s="47" t="s">
        <v>149</v>
      </c>
      <c r="C70" s="56" t="s">
        <v>43</v>
      </c>
      <c r="D70" s="51" t="s">
        <v>29</v>
      </c>
      <c r="E70" s="54">
        <f>Mem!F69</f>
        <v>8</v>
      </c>
      <c r="F70" s="54">
        <f t="shared" si="3"/>
        <v>402.64900000000006</v>
      </c>
      <c r="G70" s="54">
        <f t="shared" si="2"/>
        <v>3221.1920000000005</v>
      </c>
      <c r="H70" s="57"/>
      <c r="I70" s="11"/>
      <c r="J70" s="15">
        <v>309.73</v>
      </c>
    </row>
    <row r="71" spans="1:10" ht="11.25">
      <c r="A71" s="61" t="s">
        <v>214</v>
      </c>
      <c r="B71" s="23" t="s">
        <v>151</v>
      </c>
      <c r="C71" s="40" t="s">
        <v>150</v>
      </c>
      <c r="D71" s="13" t="s">
        <v>29</v>
      </c>
      <c r="E71" s="15">
        <f>Mem!F70</f>
        <v>5</v>
      </c>
      <c r="F71" s="15">
        <f t="shared" si="3"/>
        <v>353.834</v>
      </c>
      <c r="G71" s="15">
        <f t="shared" si="2"/>
        <v>1769.17</v>
      </c>
      <c r="H71" s="20"/>
      <c r="I71" s="16"/>
      <c r="J71" s="15">
        <v>272.18</v>
      </c>
    </row>
    <row r="72" spans="1:10" ht="11.25">
      <c r="A72" s="61" t="s">
        <v>215</v>
      </c>
      <c r="B72" s="23" t="s">
        <v>152</v>
      </c>
      <c r="C72" s="40" t="s">
        <v>44</v>
      </c>
      <c r="D72" s="13" t="s">
        <v>29</v>
      </c>
      <c r="E72" s="15">
        <f>Mem!F71</f>
        <v>7</v>
      </c>
      <c r="F72" s="15">
        <f t="shared" si="3"/>
        <v>254.93</v>
      </c>
      <c r="G72" s="15">
        <f t="shared" si="2"/>
        <v>1784.51</v>
      </c>
      <c r="H72" s="20"/>
      <c r="I72" s="16"/>
      <c r="J72" s="15">
        <v>196.1</v>
      </c>
    </row>
    <row r="73" spans="1:10" ht="11.25">
      <c r="A73" s="61" t="s">
        <v>216</v>
      </c>
      <c r="B73" s="23" t="s">
        <v>153</v>
      </c>
      <c r="C73" s="40" t="s">
        <v>154</v>
      </c>
      <c r="D73" s="13" t="s">
        <v>29</v>
      </c>
      <c r="E73" s="15">
        <f>Mem!F72</f>
        <v>1</v>
      </c>
      <c r="F73" s="15">
        <f t="shared" si="3"/>
        <v>492.544</v>
      </c>
      <c r="G73" s="15">
        <f t="shared" si="2"/>
        <v>492.544</v>
      </c>
      <c r="H73" s="20"/>
      <c r="I73" s="16"/>
      <c r="J73" s="15">
        <v>378.88</v>
      </c>
    </row>
    <row r="74" spans="1:10" ht="11.25">
      <c r="A74" s="61" t="s">
        <v>217</v>
      </c>
      <c r="B74" s="23" t="s">
        <v>155</v>
      </c>
      <c r="C74" s="40" t="s">
        <v>156</v>
      </c>
      <c r="D74" s="13" t="s">
        <v>8</v>
      </c>
      <c r="E74" s="15">
        <f>Mem!F73</f>
        <v>151.83</v>
      </c>
      <c r="F74" s="15">
        <f t="shared" si="3"/>
        <v>365.677</v>
      </c>
      <c r="G74" s="22">
        <f t="shared" si="2"/>
        <v>55520.73891000001</v>
      </c>
      <c r="H74" s="20"/>
      <c r="I74" s="16"/>
      <c r="J74" s="15">
        <v>281.29</v>
      </c>
    </row>
    <row r="75" spans="1:10" ht="11.25">
      <c r="A75" s="61" t="s">
        <v>218</v>
      </c>
      <c r="C75" s="40" t="s">
        <v>45</v>
      </c>
      <c r="D75" s="13" t="s">
        <v>0</v>
      </c>
      <c r="E75" s="15">
        <f>Mem!F74</f>
        <v>7</v>
      </c>
      <c r="F75" s="15">
        <f t="shared" si="3"/>
        <v>40.300000000000004</v>
      </c>
      <c r="G75" s="15">
        <f t="shared" si="2"/>
        <v>282.1</v>
      </c>
      <c r="H75" s="20"/>
      <c r="I75" s="16"/>
      <c r="J75" s="15">
        <v>31</v>
      </c>
    </row>
    <row r="76" spans="1:10" ht="11.25">
      <c r="A76" s="61" t="s">
        <v>219</v>
      </c>
      <c r="B76" s="23" t="s">
        <v>157</v>
      </c>
      <c r="C76" s="40" t="s">
        <v>46</v>
      </c>
      <c r="D76" s="13" t="s">
        <v>0</v>
      </c>
      <c r="E76" s="15">
        <f>Mem!F75</f>
        <v>2.5</v>
      </c>
      <c r="F76" s="15">
        <f t="shared" si="3"/>
        <v>209.859</v>
      </c>
      <c r="G76" s="15">
        <f t="shared" si="2"/>
        <v>524.6475</v>
      </c>
      <c r="H76" s="20"/>
      <c r="I76" s="16"/>
      <c r="J76" s="15">
        <v>161.43</v>
      </c>
    </row>
    <row r="77" spans="1:9" ht="11.25">
      <c r="A77" s="36" t="s">
        <v>51</v>
      </c>
      <c r="C77" s="97" t="s">
        <v>53</v>
      </c>
      <c r="D77" s="13"/>
      <c r="E77" s="15"/>
      <c r="F77" s="15"/>
      <c r="G77" s="15"/>
      <c r="H77" s="17">
        <f>G78</f>
        <v>3644.628</v>
      </c>
      <c r="I77" s="16"/>
    </row>
    <row r="78" spans="1:10" ht="11.25">
      <c r="A78" s="68" t="s">
        <v>52</v>
      </c>
      <c r="B78" s="23" t="s">
        <v>241</v>
      </c>
      <c r="C78" s="8" t="s">
        <v>54</v>
      </c>
      <c r="D78" s="13" t="s">
        <v>29</v>
      </c>
      <c r="E78" s="15">
        <f>Mem!F77</f>
        <v>1</v>
      </c>
      <c r="F78" s="15">
        <f>J78*J$7</f>
        <v>3644.628</v>
      </c>
      <c r="G78" s="15">
        <f>E78*F78</f>
        <v>3644.628</v>
      </c>
      <c r="H78" s="15"/>
      <c r="I78" s="16"/>
      <c r="J78" s="15">
        <v>2803.56</v>
      </c>
    </row>
    <row r="79" spans="1:9" ht="3" customHeight="1">
      <c r="A79" s="41"/>
      <c r="B79" s="25"/>
      <c r="C79" s="42"/>
      <c r="D79" s="43"/>
      <c r="E79" s="44"/>
      <c r="F79" s="45"/>
      <c r="G79" s="44"/>
      <c r="H79" s="45"/>
      <c r="I79" s="46"/>
    </row>
    <row r="80" spans="1:9" ht="20.25" customHeight="1">
      <c r="A80" s="123" t="s">
        <v>14</v>
      </c>
      <c r="B80" s="124"/>
      <c r="C80" s="124"/>
      <c r="D80" s="124"/>
      <c r="E80" s="124"/>
      <c r="F80" s="124"/>
      <c r="G80" s="125"/>
      <c r="H80" s="113" t="s">
        <v>13</v>
      </c>
      <c r="I80" s="114">
        <f>SUM(I9:I78)</f>
        <v>539965.4555282001</v>
      </c>
    </row>
    <row r="83" ht="11.25">
      <c r="L83" s="15"/>
    </row>
    <row r="86" ht="11.25">
      <c r="L86" s="15"/>
    </row>
    <row r="87" spans="1:3" ht="11.25">
      <c r="A87" s="126" t="s">
        <v>158</v>
      </c>
      <c r="B87" s="126"/>
      <c r="C87" s="126"/>
    </row>
    <row r="88" spans="1:3" ht="11.25">
      <c r="A88" s="127" t="s">
        <v>159</v>
      </c>
      <c r="B88" s="127"/>
      <c r="C88" s="127"/>
    </row>
  </sheetData>
  <sheetProtection/>
  <mergeCells count="4">
    <mergeCell ref="A1:I1"/>
    <mergeCell ref="A80:G80"/>
    <mergeCell ref="A87:C87"/>
    <mergeCell ref="A88:C88"/>
  </mergeCells>
  <printOptions/>
  <pageMargins left="0.7874015748031497" right="0.3937007874015748" top="0.5905511811023623" bottom="0.3937007874015748" header="0.5118110236220472" footer="0"/>
  <pageSetup horizontalDpi="300" verticalDpi="300" orientation="portrait" paperSize="9" r:id="rId1"/>
  <headerFooter alignWithMargins="0">
    <oddFooter>&amp;CPirapora-MG, agosto/2.013&amp;R&amp;9Página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8515625" style="1" customWidth="1"/>
    <col min="2" max="2" width="6.28125" style="58" customWidth="1"/>
    <col min="3" max="3" width="15.00390625" style="58" customWidth="1"/>
    <col min="4" max="4" width="4.8515625" style="58" customWidth="1"/>
    <col min="5" max="5" width="7.421875" style="1" customWidth="1"/>
    <col min="6" max="6" width="7.421875" style="22" customWidth="1"/>
    <col min="7" max="9" width="8.140625" style="21" customWidth="1"/>
    <col min="10" max="12" width="7.140625" style="21" customWidth="1"/>
    <col min="13" max="14" width="9.140625" style="1" customWidth="1"/>
    <col min="15" max="15" width="10.140625" style="1" bestFit="1" customWidth="1"/>
    <col min="16" max="16384" width="9.140625" style="1" customWidth="1"/>
  </cols>
  <sheetData>
    <row r="1" spans="1:12" ht="28.5" customHeight="1">
      <c r="A1" s="138" t="s">
        <v>160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99"/>
    </row>
    <row r="2" ht="4.5" customHeight="1"/>
    <row r="3" spans="1:12" ht="16.5" customHeight="1">
      <c r="A3" s="52" t="s">
        <v>15</v>
      </c>
      <c r="B3" s="53"/>
      <c r="C3" s="5" t="s">
        <v>16</v>
      </c>
      <c r="D3" s="5"/>
      <c r="E3" s="5"/>
      <c r="F3" s="59"/>
      <c r="G3" s="54"/>
      <c r="H3" s="54"/>
      <c r="I3" s="54"/>
      <c r="J3" s="54"/>
      <c r="K3" s="77"/>
      <c r="L3" s="11"/>
    </row>
    <row r="4" spans="1:12" ht="4.5" customHeight="1">
      <c r="A4" s="74"/>
      <c r="B4" s="1"/>
      <c r="C4" s="1"/>
      <c r="D4" s="1"/>
      <c r="F4" s="21"/>
      <c r="L4" s="83"/>
    </row>
    <row r="5" spans="1:12" ht="16.5" customHeight="1">
      <c r="A5" s="49" t="s">
        <v>56</v>
      </c>
      <c r="B5" s="50"/>
      <c r="C5" s="32" t="s">
        <v>58</v>
      </c>
      <c r="D5" s="32"/>
      <c r="E5" s="32"/>
      <c r="F5" s="44"/>
      <c r="G5" s="44"/>
      <c r="H5" s="44"/>
      <c r="I5" s="44"/>
      <c r="J5" s="44"/>
      <c r="K5" s="44"/>
      <c r="L5" s="46"/>
    </row>
    <row r="6" spans="1:12" ht="4.5" customHeight="1">
      <c r="A6" s="73"/>
      <c r="B6" s="73"/>
      <c r="C6" s="73"/>
      <c r="D6" s="73"/>
      <c r="E6" s="73"/>
      <c r="F6" s="76"/>
      <c r="G6" s="76"/>
      <c r="H6" s="76"/>
      <c r="I6" s="76"/>
      <c r="J6" s="76"/>
      <c r="K6" s="76"/>
      <c r="L6" s="76"/>
    </row>
    <row r="7" spans="1:12" s="7" customFormat="1" ht="15" customHeight="1">
      <c r="A7" s="2" t="s">
        <v>1</v>
      </c>
      <c r="B7" s="138" t="s">
        <v>7</v>
      </c>
      <c r="C7" s="99"/>
      <c r="D7" s="73"/>
      <c r="E7" s="3" t="s">
        <v>2</v>
      </c>
      <c r="F7" s="78" t="s">
        <v>221</v>
      </c>
      <c r="G7" s="78" t="s">
        <v>222</v>
      </c>
      <c r="H7" s="78" t="s">
        <v>223</v>
      </c>
      <c r="I7" s="78" t="s">
        <v>224</v>
      </c>
      <c r="J7" s="78" t="s">
        <v>225</v>
      </c>
      <c r="K7" s="78" t="s">
        <v>226</v>
      </c>
      <c r="L7" s="78" t="s">
        <v>227</v>
      </c>
    </row>
    <row r="8" spans="1:12" s="8" customFormat="1" ht="4.5" customHeight="1">
      <c r="A8" s="75"/>
      <c r="B8" s="75"/>
      <c r="C8" s="75"/>
      <c r="D8" s="75"/>
      <c r="E8" s="75"/>
      <c r="F8" s="72"/>
      <c r="G8" s="72"/>
      <c r="H8" s="72"/>
      <c r="I8" s="72"/>
      <c r="J8" s="72"/>
      <c r="K8" s="72"/>
      <c r="L8" s="72"/>
    </row>
    <row r="9" spans="1:12" s="8" customFormat="1" ht="14.25" customHeight="1">
      <c r="A9" s="65">
        <f>Pista!A9</f>
        <v>1</v>
      </c>
      <c r="B9" s="137" t="str">
        <f>Pista!C9</f>
        <v>PISTA</v>
      </c>
      <c r="C9" s="137"/>
      <c r="D9" s="66"/>
      <c r="E9" s="70"/>
      <c r="F9" s="67"/>
      <c r="G9" s="67"/>
      <c r="H9" s="67"/>
      <c r="I9" s="67"/>
      <c r="J9" s="67"/>
      <c r="K9" s="67"/>
      <c r="L9" s="60"/>
    </row>
    <row r="10" spans="1:12" s="8" customFormat="1" ht="14.25" customHeight="1">
      <c r="A10" s="128" t="str">
        <f>Pista!A10</f>
        <v>1.1</v>
      </c>
      <c r="B10" s="130" t="str">
        <f>Pista!C10</f>
        <v>Serviços Preliminares</v>
      </c>
      <c r="C10" s="131"/>
      <c r="D10" s="86" t="s">
        <v>229</v>
      </c>
      <c r="E10" s="64">
        <f>Pista!H10</f>
        <v>127471.64207700001</v>
      </c>
      <c r="F10" s="90">
        <f>F11*$E10</f>
        <v>101977.31366160001</v>
      </c>
      <c r="G10" s="59">
        <f>G11*$E10</f>
        <v>25494.328415400003</v>
      </c>
      <c r="H10" s="90"/>
      <c r="I10" s="59"/>
      <c r="J10" s="90"/>
      <c r="K10" s="59"/>
      <c r="L10" s="90"/>
    </row>
    <row r="11" spans="1:12" s="81" customFormat="1" ht="14.25" customHeight="1">
      <c r="A11" s="129"/>
      <c r="B11" s="132"/>
      <c r="C11" s="133"/>
      <c r="D11" s="87" t="s">
        <v>228</v>
      </c>
      <c r="E11" s="84">
        <f>E10/$E$25</f>
        <v>0.23607369836706657</v>
      </c>
      <c r="F11" s="91">
        <v>0.8</v>
      </c>
      <c r="G11" s="84">
        <v>0.2</v>
      </c>
      <c r="H11" s="91"/>
      <c r="I11" s="84"/>
      <c r="J11" s="91"/>
      <c r="K11" s="84"/>
      <c r="L11" s="91"/>
    </row>
    <row r="12" spans="1:12" s="8" customFormat="1" ht="14.25" customHeight="1">
      <c r="A12" s="128" t="str">
        <f>Pista!A14</f>
        <v>1.2</v>
      </c>
      <c r="B12" s="130" t="str">
        <f>Pista!C14</f>
        <v>Inst. Hidráulica - Drenagem</v>
      </c>
      <c r="C12" s="131"/>
      <c r="D12" s="88" t="s">
        <v>229</v>
      </c>
      <c r="E12" s="62">
        <f>Pista!H14</f>
        <v>15738.650980000002</v>
      </c>
      <c r="F12" s="92">
        <f>F13*$E12</f>
        <v>15738.650980000002</v>
      </c>
      <c r="G12" s="22"/>
      <c r="H12" s="92"/>
      <c r="I12" s="22"/>
      <c r="J12" s="92"/>
      <c r="K12" s="22"/>
      <c r="L12" s="92"/>
    </row>
    <row r="13" spans="1:12" s="81" customFormat="1" ht="14.25" customHeight="1">
      <c r="A13" s="129"/>
      <c r="B13" s="132"/>
      <c r="C13" s="133"/>
      <c r="D13" s="89" t="s">
        <v>228</v>
      </c>
      <c r="E13" s="84">
        <f>E12/$E$25</f>
        <v>0.029147514565731395</v>
      </c>
      <c r="F13" s="93">
        <v>1</v>
      </c>
      <c r="G13" s="79"/>
      <c r="H13" s="93"/>
      <c r="I13" s="79"/>
      <c r="J13" s="93"/>
      <c r="K13" s="79"/>
      <c r="L13" s="93"/>
    </row>
    <row r="14" spans="1:12" s="8" customFormat="1" ht="14.25" customHeight="1">
      <c r="A14" s="128" t="str">
        <f>Pista!A20</f>
        <v>1.3</v>
      </c>
      <c r="B14" s="130" t="str">
        <f>Pista!C20</f>
        <v>Base p/fiscalização ( 2 )</v>
      </c>
      <c r="C14" s="131"/>
      <c r="D14" s="86" t="s">
        <v>229</v>
      </c>
      <c r="E14" s="64">
        <f>Pista!H20</f>
        <v>397.30171520000005</v>
      </c>
      <c r="F14" s="90"/>
      <c r="G14" s="59"/>
      <c r="H14" s="90">
        <f>H15*$E14</f>
        <v>397.30171520000005</v>
      </c>
      <c r="I14" s="59"/>
      <c r="J14" s="90"/>
      <c r="K14" s="59"/>
      <c r="L14" s="90"/>
    </row>
    <row r="15" spans="1:12" s="81" customFormat="1" ht="14.25" customHeight="1">
      <c r="A15" s="129"/>
      <c r="B15" s="132"/>
      <c r="C15" s="133"/>
      <c r="D15" s="87" t="s">
        <v>228</v>
      </c>
      <c r="E15" s="84">
        <f>E14/$E$25</f>
        <v>0.0007357909865018219</v>
      </c>
      <c r="F15" s="91"/>
      <c r="G15" s="84"/>
      <c r="H15" s="91">
        <v>1</v>
      </c>
      <c r="I15" s="84"/>
      <c r="J15" s="91"/>
      <c r="K15" s="84"/>
      <c r="L15" s="91"/>
    </row>
    <row r="16" spans="1:12" s="8" customFormat="1" ht="14.25" customHeight="1">
      <c r="A16" s="128" t="str">
        <f>Pista!A23</f>
        <v>1.4</v>
      </c>
      <c r="B16" s="130" t="str">
        <f>Pista!C23</f>
        <v>Revestimento asfáltico</v>
      </c>
      <c r="C16" s="131"/>
      <c r="D16" s="88" t="s">
        <v>229</v>
      </c>
      <c r="E16" s="62">
        <f>Pista!H23</f>
        <v>44730.533639999994</v>
      </c>
      <c r="F16" s="92"/>
      <c r="G16" s="22"/>
      <c r="H16" s="92">
        <f>H17*$E16</f>
        <v>0</v>
      </c>
      <c r="I16" s="22">
        <f>I17*$E16</f>
        <v>44730.533639999994</v>
      </c>
      <c r="J16" s="92"/>
      <c r="K16" s="22"/>
      <c r="L16" s="92"/>
    </row>
    <row r="17" spans="1:12" s="81" customFormat="1" ht="14.25" customHeight="1">
      <c r="A17" s="134"/>
      <c r="B17" s="135"/>
      <c r="C17" s="136"/>
      <c r="D17" s="89" t="s">
        <v>228</v>
      </c>
      <c r="E17" s="79">
        <f>E16/$E$25</f>
        <v>0.0828396209091637</v>
      </c>
      <c r="F17" s="93"/>
      <c r="G17" s="79"/>
      <c r="H17" s="93"/>
      <c r="I17" s="79">
        <v>1</v>
      </c>
      <c r="J17" s="93"/>
      <c r="K17" s="79"/>
      <c r="L17" s="93"/>
    </row>
    <row r="18" spans="1:12" s="8" customFormat="1" ht="14.25" customHeight="1">
      <c r="A18" s="128" t="str">
        <f>Pista!A26</f>
        <v>1.6</v>
      </c>
      <c r="B18" s="130" t="str">
        <f>Pista!C26</f>
        <v>Caixa d'Água</v>
      </c>
      <c r="C18" s="131"/>
      <c r="D18" s="86" t="s">
        <v>229</v>
      </c>
      <c r="E18" s="64">
        <f>Pista!H26</f>
        <v>8814.396110000001</v>
      </c>
      <c r="F18" s="90"/>
      <c r="G18" s="59">
        <f>G19*$E18</f>
        <v>8814.396110000001</v>
      </c>
      <c r="H18" s="90"/>
      <c r="I18" s="59"/>
      <c r="J18" s="90"/>
      <c r="K18" s="59"/>
      <c r="L18" s="90"/>
    </row>
    <row r="19" spans="1:12" s="81" customFormat="1" ht="14.25" customHeight="1">
      <c r="A19" s="129"/>
      <c r="B19" s="132"/>
      <c r="C19" s="133"/>
      <c r="D19" s="87" t="s">
        <v>228</v>
      </c>
      <c r="E19" s="84">
        <f>E18/$E$25</f>
        <v>0.016324000025849175</v>
      </c>
      <c r="F19" s="91"/>
      <c r="G19" s="84">
        <v>1</v>
      </c>
      <c r="H19" s="91"/>
      <c r="I19" s="84"/>
      <c r="J19" s="91"/>
      <c r="K19" s="84"/>
      <c r="L19" s="91"/>
    </row>
    <row r="20" spans="1:12" s="8" customFormat="1" ht="14.25" customHeight="1">
      <c r="A20" s="128" t="str">
        <f>Pista!A41</f>
        <v>1.7</v>
      </c>
      <c r="B20" s="130" t="str">
        <f>Pista!C41</f>
        <v>Prédio da Adm./Largada</v>
      </c>
      <c r="C20" s="131"/>
      <c r="D20" s="86" t="s">
        <v>229</v>
      </c>
      <c r="E20" s="64">
        <f>Pista!H41</f>
        <v>339168.30300600006</v>
      </c>
      <c r="F20" s="90"/>
      <c r="G20" s="59">
        <f>G21*$E20</f>
        <v>135667.32120240002</v>
      </c>
      <c r="H20" s="90">
        <f>H21*$E20</f>
        <v>135667.32120240002</v>
      </c>
      <c r="I20" s="59">
        <f>I21*$E20</f>
        <v>67833.66060120001</v>
      </c>
      <c r="J20" s="90"/>
      <c r="K20" s="59"/>
      <c r="L20" s="90"/>
    </row>
    <row r="21" spans="1:12" s="81" customFormat="1" ht="14.25" customHeight="1">
      <c r="A21" s="129"/>
      <c r="B21" s="132"/>
      <c r="C21" s="133"/>
      <c r="D21" s="87" t="s">
        <v>228</v>
      </c>
      <c r="E21" s="84">
        <f>E20/$E$25</f>
        <v>0.6281296322451255</v>
      </c>
      <c r="F21" s="91"/>
      <c r="G21" s="84">
        <v>0.4</v>
      </c>
      <c r="H21" s="91">
        <v>0.4</v>
      </c>
      <c r="I21" s="84">
        <v>0.2</v>
      </c>
      <c r="J21" s="91"/>
      <c r="K21" s="84"/>
      <c r="L21" s="91"/>
    </row>
    <row r="22" spans="1:12" s="8" customFormat="1" ht="14.25" customHeight="1">
      <c r="A22" s="128" t="str">
        <f>Pista!A77</f>
        <v>1.14</v>
      </c>
      <c r="B22" s="130" t="str">
        <f>Pista!C77</f>
        <v>Padrão Cemig</v>
      </c>
      <c r="C22" s="131"/>
      <c r="D22" s="88" t="s">
        <v>229</v>
      </c>
      <c r="E22" s="62">
        <f>Pista!H77</f>
        <v>3644.628</v>
      </c>
      <c r="F22" s="92">
        <f>F23*$E22</f>
        <v>3644.628</v>
      </c>
      <c r="G22" s="22"/>
      <c r="H22" s="92"/>
      <c r="I22" s="22"/>
      <c r="J22" s="92"/>
      <c r="K22" s="22"/>
      <c r="L22" s="92"/>
    </row>
    <row r="23" spans="1:12" s="81" customFormat="1" ht="14.25" customHeight="1">
      <c r="A23" s="129"/>
      <c r="B23" s="132"/>
      <c r="C23" s="133"/>
      <c r="D23" s="87" t="s">
        <v>228</v>
      </c>
      <c r="E23" s="84">
        <f>E22/$E$25</f>
        <v>0.006749742900561639</v>
      </c>
      <c r="F23" s="91">
        <v>1</v>
      </c>
      <c r="G23" s="84"/>
      <c r="H23" s="91"/>
      <c r="I23" s="84"/>
      <c r="J23" s="91"/>
      <c r="K23" s="84"/>
      <c r="L23" s="91"/>
    </row>
    <row r="24" spans="1:12" s="81" customFormat="1" ht="4.5" customHeight="1">
      <c r="A24" s="71"/>
      <c r="B24" s="69"/>
      <c r="C24" s="69"/>
      <c r="D24" s="69"/>
      <c r="E24" s="79"/>
      <c r="F24" s="79"/>
      <c r="G24" s="79"/>
      <c r="H24" s="79"/>
      <c r="I24" s="79"/>
      <c r="J24" s="79"/>
      <c r="K24" s="79"/>
      <c r="L24" s="79"/>
    </row>
    <row r="25" spans="1:14" s="8" customFormat="1" ht="11.25">
      <c r="A25" s="128" t="str">
        <f>Pista!A80</f>
        <v>TOTAL GERAL</v>
      </c>
      <c r="B25" s="137"/>
      <c r="C25" s="100"/>
      <c r="D25" s="86" t="s">
        <v>229</v>
      </c>
      <c r="E25" s="64">
        <f>E10+E12+E14+E16+E18+E20+E22</f>
        <v>539965.4555282001</v>
      </c>
      <c r="F25" s="115">
        <f aca="true" t="shared" si="0" ref="F25:L25">F10+F12+F14+F16+F18+F20+F22</f>
        <v>121360.59264160001</v>
      </c>
      <c r="G25" s="119">
        <f t="shared" si="0"/>
        <v>169976.04572780002</v>
      </c>
      <c r="H25" s="64">
        <f t="shared" si="0"/>
        <v>136064.62291760003</v>
      </c>
      <c r="I25" s="119">
        <f t="shared" si="0"/>
        <v>112564.1942412</v>
      </c>
      <c r="J25" s="64">
        <f t="shared" si="0"/>
        <v>0</v>
      </c>
      <c r="K25" s="119">
        <f t="shared" si="0"/>
        <v>0</v>
      </c>
      <c r="L25" s="116">
        <f t="shared" si="0"/>
        <v>0</v>
      </c>
      <c r="N25" s="15">
        <f>SUM(F25:L25)</f>
        <v>539965.4555282001</v>
      </c>
    </row>
    <row r="26" spans="1:12" s="82" customFormat="1" ht="12.75">
      <c r="A26" s="129"/>
      <c r="B26" s="101"/>
      <c r="C26" s="102"/>
      <c r="D26" s="87" t="s">
        <v>228</v>
      </c>
      <c r="E26" s="85"/>
      <c r="F26" s="117">
        <f>F25/$E$25</f>
        <v>0.2247562161599463</v>
      </c>
      <c r="G26" s="91">
        <f aca="true" t="shared" si="1" ref="G26:L26">G25/$E$25</f>
        <v>0.31479059259731274</v>
      </c>
      <c r="H26" s="84">
        <f t="shared" si="1"/>
        <v>0.2519876438845521</v>
      </c>
      <c r="I26" s="91">
        <f t="shared" si="1"/>
        <v>0.2084655473581888</v>
      </c>
      <c r="J26" s="84">
        <f t="shared" si="1"/>
        <v>0</v>
      </c>
      <c r="K26" s="91">
        <f t="shared" si="1"/>
        <v>0</v>
      </c>
      <c r="L26" s="118">
        <f t="shared" si="1"/>
        <v>0</v>
      </c>
    </row>
    <row r="27" spans="2:12" s="82" customFormat="1" ht="4.5" customHeight="1">
      <c r="B27" s="69"/>
      <c r="C27" s="69"/>
      <c r="D27" s="69"/>
      <c r="E27" s="80"/>
      <c r="F27" s="79"/>
      <c r="G27" s="80"/>
      <c r="H27" s="80"/>
      <c r="I27" s="80"/>
      <c r="J27" s="80"/>
      <c r="K27" s="80"/>
      <c r="L27" s="79"/>
    </row>
    <row r="28" spans="7:12" ht="12.75">
      <c r="G28" s="22"/>
      <c r="H28" s="22"/>
      <c r="I28" s="22"/>
      <c r="J28" s="22"/>
      <c r="K28" s="22"/>
      <c r="L28" s="22"/>
    </row>
    <row r="29" ht="12.75">
      <c r="L29" s="79"/>
    </row>
    <row r="35" spans="9:11" ht="12.75">
      <c r="I35" s="126" t="s">
        <v>158</v>
      </c>
      <c r="J35" s="126"/>
      <c r="K35" s="126"/>
    </row>
    <row r="36" spans="9:11" ht="12.75">
      <c r="I36" s="127" t="s">
        <v>159</v>
      </c>
      <c r="J36" s="127"/>
      <c r="K36" s="127"/>
    </row>
  </sheetData>
  <sheetProtection/>
  <mergeCells count="20">
    <mergeCell ref="I36:K36"/>
    <mergeCell ref="A25:C26"/>
    <mergeCell ref="A22:A23"/>
    <mergeCell ref="B22:C23"/>
    <mergeCell ref="B9:C9"/>
    <mergeCell ref="A1:L1"/>
    <mergeCell ref="B7:C7"/>
    <mergeCell ref="I35:K35"/>
    <mergeCell ref="A20:A21"/>
    <mergeCell ref="B20:C21"/>
    <mergeCell ref="A10:A11"/>
    <mergeCell ref="B10:C11"/>
    <mergeCell ref="A16:A17"/>
    <mergeCell ref="B16:C17"/>
    <mergeCell ref="A14:A15"/>
    <mergeCell ref="B14:C15"/>
    <mergeCell ref="A18:A19"/>
    <mergeCell ref="B18:C19"/>
    <mergeCell ref="A12:A13"/>
    <mergeCell ref="B12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="80" zoomScaleNormal="80" zoomScalePageLayoutView="0" workbookViewId="0" topLeftCell="A36">
      <selection activeCell="H60" sqref="H60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24.8515625" style="1" customWidth="1"/>
    <col min="4" max="4" width="5.00390625" style="1" customWidth="1"/>
    <col min="5" max="5" width="85.8515625" style="1" customWidth="1"/>
    <col min="6" max="6" width="10.42187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spans="1:6" ht="28.5" customHeight="1">
      <c r="A1" s="138" t="s">
        <v>57</v>
      </c>
      <c r="B1" s="139"/>
      <c r="C1" s="139"/>
      <c r="D1" s="139"/>
      <c r="E1" s="139"/>
      <c r="F1" s="99"/>
    </row>
    <row r="2" ht="8.25" customHeight="1"/>
    <row r="3" spans="1:6" ht="16.5" customHeight="1">
      <c r="A3" s="109" t="s">
        <v>15</v>
      </c>
      <c r="B3" s="110"/>
      <c r="C3" s="5" t="s">
        <v>16</v>
      </c>
      <c r="D3" s="145"/>
      <c r="E3" s="145"/>
      <c r="F3" s="146"/>
    </row>
    <row r="4" spans="1:6" ht="6.75" customHeight="1">
      <c r="A4" s="111"/>
      <c r="B4" s="112"/>
      <c r="C4" s="112"/>
      <c r="D4" s="112"/>
      <c r="E4" s="112"/>
      <c r="F4" s="140"/>
    </row>
    <row r="5" spans="1:6" ht="16.5" customHeight="1">
      <c r="A5" s="141" t="s">
        <v>56</v>
      </c>
      <c r="B5" s="142"/>
      <c r="C5" s="32" t="s">
        <v>58</v>
      </c>
      <c r="D5" s="32"/>
      <c r="E5" s="32"/>
      <c r="F5" s="33"/>
    </row>
    <row r="6" spans="1:6" ht="8.25" customHeight="1">
      <c r="A6" s="144"/>
      <c r="B6" s="144"/>
      <c r="C6" s="144"/>
      <c r="D6" s="144"/>
      <c r="E6" s="144"/>
      <c r="F6" s="144"/>
    </row>
    <row r="7" spans="1:6" s="7" customFormat="1" ht="15" customHeight="1">
      <c r="A7" s="2" t="s">
        <v>1</v>
      </c>
      <c r="B7" s="138" t="s">
        <v>60</v>
      </c>
      <c r="C7" s="99"/>
      <c r="D7" s="3" t="s">
        <v>6</v>
      </c>
      <c r="E7" s="2" t="s">
        <v>62</v>
      </c>
      <c r="F7" s="4" t="s">
        <v>2</v>
      </c>
    </row>
    <row r="8" spans="1:6" s="8" customFormat="1" ht="6.75" customHeight="1">
      <c r="A8" s="103"/>
      <c r="B8" s="103"/>
      <c r="C8" s="103"/>
      <c r="D8" s="103"/>
      <c r="E8" s="103"/>
      <c r="F8" s="103"/>
    </row>
    <row r="9" spans="1:6" s="8" customFormat="1" ht="18" customHeight="1">
      <c r="A9" s="9">
        <f>Pista!A9</f>
        <v>1</v>
      </c>
      <c r="B9" s="143" t="str">
        <f>Pista!C9</f>
        <v>PISTA</v>
      </c>
      <c r="C9" s="143"/>
      <c r="D9" s="10"/>
      <c r="E9" s="10"/>
      <c r="F9" s="11"/>
    </row>
    <row r="10" spans="1:6" s="8" customFormat="1" ht="11.25">
      <c r="A10" s="12" t="str">
        <f>Pista!A11</f>
        <v>1.1.2</v>
      </c>
      <c r="B10" s="103" t="str">
        <f>Pista!C11</f>
        <v>Regularização da pista</v>
      </c>
      <c r="C10" s="103"/>
      <c r="D10" s="13" t="str">
        <f>Pista!D11</f>
        <v>m²</v>
      </c>
      <c r="E10" s="15" t="s">
        <v>61</v>
      </c>
      <c r="F10" s="16">
        <f>136.13*88.25</f>
        <v>12013.4725</v>
      </c>
    </row>
    <row r="11" spans="1:6" s="8" customFormat="1" ht="11.25">
      <c r="A11" s="12" t="str">
        <f>Pista!A12</f>
        <v>1.1.3</v>
      </c>
      <c r="B11" s="103" t="str">
        <f>Pista!C12</f>
        <v>Aterro compactado/ modelação dos obstáculos</v>
      </c>
      <c r="C11" s="103"/>
      <c r="D11" s="13" t="str">
        <f>Pista!D12</f>
        <v>m³</v>
      </c>
      <c r="E11" s="15" t="s">
        <v>63</v>
      </c>
      <c r="F11" s="16">
        <f>117.5+17.81+65.18+69.3+(11.04*4)+141.4+(8.16*2)+45.76+9.52+12.29+9.52+79.1+59.85+10.88+10.56+20+8.13+40+(8.13*3)+76.65+12.45+100.63+141.4+8.16+112.32+94+76.43+112</f>
        <v>1535.71</v>
      </c>
    </row>
    <row r="12" spans="1:6" s="8" customFormat="1" ht="11.25">
      <c r="A12" s="37"/>
      <c r="D12" s="13"/>
      <c r="E12" s="15" t="s">
        <v>64</v>
      </c>
      <c r="F12" s="16"/>
    </row>
    <row r="13" spans="1:6" s="8" customFormat="1" ht="11.25">
      <c r="A13" s="12" t="str">
        <f>Pista!A13</f>
        <v>1.1.4</v>
      </c>
      <c r="B13" s="103" t="str">
        <f>Pista!C13</f>
        <v>Acabamento da pista</v>
      </c>
      <c r="C13" s="103"/>
      <c r="D13" s="13" t="str">
        <f>Pista!D13</f>
        <v>m²</v>
      </c>
      <c r="E13" s="18" t="s">
        <v>66</v>
      </c>
      <c r="F13" s="19">
        <f>(20.75+51.48)*10+(98.86*7)+(69.12*7)+(54.62*8)+(69.93*7.33)+(32.92*4)+(55.72*8)+(77.66*7)+(69.23*7)+(29.5*8)+(69.09*7.33)+(41.76*4)</f>
        <v>5362.846599999999</v>
      </c>
    </row>
    <row r="14" spans="1:6" s="8" customFormat="1" ht="11.25">
      <c r="A14" s="12"/>
      <c r="D14" s="13"/>
      <c r="E14" s="18" t="s">
        <v>65</v>
      </c>
      <c r="F14" s="19"/>
    </row>
    <row r="15" spans="1:6" s="8" customFormat="1" ht="11.25">
      <c r="A15" s="12" t="str">
        <f>Pista!A14</f>
        <v>1.2</v>
      </c>
      <c r="B15" s="147" t="str">
        <f>Pista!C14</f>
        <v>Inst. Hidráulica - Drenagem</v>
      </c>
      <c r="C15" s="147"/>
      <c r="D15" s="13"/>
      <c r="E15" s="18"/>
      <c r="F15" s="19"/>
    </row>
    <row r="16" spans="1:6" s="8" customFormat="1" ht="11.25">
      <c r="A16" s="12" t="str">
        <f>Pista!A15</f>
        <v>1.2.1</v>
      </c>
      <c r="B16" s="103" t="str">
        <f>Pista!C15</f>
        <v>Instalação hidro sanitária</v>
      </c>
      <c r="C16" s="103"/>
      <c r="D16" s="13" t="str">
        <f>Pista!D15</f>
        <v>pto</v>
      </c>
      <c r="E16" s="14" t="s">
        <v>75</v>
      </c>
      <c r="F16" s="16">
        <v>7</v>
      </c>
    </row>
    <row r="17" spans="1:6" s="8" customFormat="1" ht="11.25">
      <c r="A17" s="12" t="str">
        <f>Pista!A16</f>
        <v>1.2.2</v>
      </c>
      <c r="B17" s="103" t="str">
        <f>Pista!C16</f>
        <v>Tubo PVC azul 50 mm </v>
      </c>
      <c r="C17" s="103"/>
      <c r="D17" s="13" t="str">
        <f>Pista!D16</f>
        <v>m</v>
      </c>
      <c r="E17" s="18" t="s">
        <v>85</v>
      </c>
      <c r="F17" s="19">
        <f>50.9+63.8+30.12+43.4+20.04</f>
        <v>208.26</v>
      </c>
    </row>
    <row r="18" spans="1:6" s="8" customFormat="1" ht="11.25">
      <c r="A18" s="12" t="str">
        <f>Pista!A17</f>
        <v>1.2.3</v>
      </c>
      <c r="B18" s="103" t="str">
        <f>Pista!C17</f>
        <v>Registro de gaveta 2"</v>
      </c>
      <c r="C18" s="103"/>
      <c r="D18" s="13" t="str">
        <f>Pista!D17</f>
        <v>unid</v>
      </c>
      <c r="E18" s="18">
        <v>7</v>
      </c>
      <c r="F18" s="19">
        <v>7</v>
      </c>
    </row>
    <row r="19" spans="1:6" s="8" customFormat="1" ht="11.25">
      <c r="A19" s="12" t="str">
        <f>Pista!A18</f>
        <v>1.2.4</v>
      </c>
      <c r="B19" s="103" t="str">
        <f>Pista!C18</f>
        <v>Caixa de alv.  60x60</v>
      </c>
      <c r="C19" s="103"/>
      <c r="D19" s="13" t="str">
        <f>Pista!D18</f>
        <v>unid</v>
      </c>
      <c r="E19" s="18">
        <v>16</v>
      </c>
      <c r="F19" s="19">
        <v>12</v>
      </c>
    </row>
    <row r="20" spans="1:6" s="8" customFormat="1" ht="11.25">
      <c r="A20" s="12" t="str">
        <f>Pista!A19</f>
        <v>1.2.5</v>
      </c>
      <c r="B20" s="103" t="str">
        <f>Pista!C19</f>
        <v>Manilha conc. Ø300 mm</v>
      </c>
      <c r="C20" s="103"/>
      <c r="D20" s="13" t="str">
        <f>Pista!D19</f>
        <v>m</v>
      </c>
      <c r="E20" s="15" t="s">
        <v>90</v>
      </c>
      <c r="F20" s="19">
        <f>35.72+17.2+17.36+9.74+11.64+13.4+14.42+34.56</f>
        <v>154.04000000000002</v>
      </c>
    </row>
    <row r="21" spans="1:6" s="8" customFormat="1" ht="11.25">
      <c r="A21" s="12" t="str">
        <f>Pista!A20</f>
        <v>1.3</v>
      </c>
      <c r="B21" s="107" t="str">
        <f>Pista!C20</f>
        <v>Base p/fiscalização ( 2 )</v>
      </c>
      <c r="C21" s="107"/>
      <c r="D21" s="13"/>
      <c r="E21" s="15"/>
      <c r="F21" s="16"/>
    </row>
    <row r="22" spans="1:6" s="8" customFormat="1" ht="11.25">
      <c r="A22" s="12" t="str">
        <f>Pista!A21</f>
        <v>1.3.1</v>
      </c>
      <c r="B22" s="103" t="str">
        <f>Pista!C21</f>
        <v>Nivelamento/compactação do terreno</v>
      </c>
      <c r="C22" s="103"/>
      <c r="D22" s="13" t="str">
        <f>Pista!D21</f>
        <v>m²</v>
      </c>
      <c r="E22" s="15" t="s">
        <v>87</v>
      </c>
      <c r="F22" s="16">
        <f>((3.1416*1*1)+(2*1))*2</f>
        <v>10.2832</v>
      </c>
    </row>
    <row r="23" spans="1:6" s="8" customFormat="1" ht="11.25">
      <c r="A23" s="12" t="str">
        <f>Pista!A22</f>
        <v>1.3.2</v>
      </c>
      <c r="B23" s="103" t="str">
        <f>Pista!C22</f>
        <v>Contra piso - 5 cm</v>
      </c>
      <c r="C23" s="103"/>
      <c r="D23" s="13" t="str">
        <f>Pista!D22</f>
        <v>m²</v>
      </c>
      <c r="E23" s="15" t="s">
        <v>87</v>
      </c>
      <c r="F23" s="16">
        <f>((3.1416*1*1)+(2*1))*2</f>
        <v>10.2832</v>
      </c>
    </row>
    <row r="24" spans="1:6" s="8" customFormat="1" ht="11.25">
      <c r="A24" s="12" t="str">
        <f>Pista!A23</f>
        <v>1.4</v>
      </c>
      <c r="B24" s="107" t="str">
        <f>Pista!C23</f>
        <v>Revestimento asfáltico</v>
      </c>
      <c r="C24" s="107"/>
      <c r="D24" s="13"/>
      <c r="E24" s="15"/>
      <c r="F24" s="16"/>
    </row>
    <row r="25" spans="1:6" s="8" customFormat="1" ht="11.25">
      <c r="A25" s="12" t="str">
        <f>Pista!A24</f>
        <v>1.4.1</v>
      </c>
      <c r="B25" s="103" t="str">
        <f>Pista!C24</f>
        <v>Imprimação ( largada, curvas e chegada )</v>
      </c>
      <c r="C25" s="103"/>
      <c r="D25" s="13" t="str">
        <f>Pista!D24</f>
        <v>m²</v>
      </c>
      <c r="E25" s="15" t="s">
        <v>77</v>
      </c>
      <c r="F25" s="16">
        <f>(20.75+10)*10+(98.86+41.76+54.64)*16+(20*8)</f>
        <v>3591.66</v>
      </c>
    </row>
    <row r="26" spans="1:6" s="8" customFormat="1" ht="11.25">
      <c r="A26" s="12" t="str">
        <f>Pista!A25</f>
        <v>1.4.2</v>
      </c>
      <c r="B26" s="103" t="str">
        <f>Pista!C25</f>
        <v>Revestimento TSD (largada, curvas, chegada )</v>
      </c>
      <c r="C26" s="103"/>
      <c r="D26" s="13" t="str">
        <f>Pista!D25</f>
        <v>m²</v>
      </c>
      <c r="E26" s="15" t="s">
        <v>77</v>
      </c>
      <c r="F26" s="16">
        <f>(20.75+10)*10+(98.86+41.76+54.64)*16+(20*8)</f>
        <v>3591.66</v>
      </c>
    </row>
    <row r="27" spans="1:6" s="8" customFormat="1" ht="11.25">
      <c r="A27" s="12" t="str">
        <f>Pista!A26</f>
        <v>1.6</v>
      </c>
      <c r="B27" s="107" t="s">
        <v>30</v>
      </c>
      <c r="C27" s="107"/>
      <c r="D27" s="13"/>
      <c r="E27" s="35"/>
      <c r="F27" s="16"/>
    </row>
    <row r="28" spans="1:6" s="8" customFormat="1" ht="11.25">
      <c r="A28" s="12" t="str">
        <f>Pista!A27</f>
        <v>1.6.1</v>
      </c>
      <c r="B28" s="103" t="str">
        <f>Pista!C27</f>
        <v>Escavação manual</v>
      </c>
      <c r="C28" s="103"/>
      <c r="D28" s="13" t="s">
        <v>0</v>
      </c>
      <c r="E28" s="18">
        <v>14.08</v>
      </c>
      <c r="F28" s="19">
        <v>14.08</v>
      </c>
    </row>
    <row r="29" spans="1:6" s="8" customFormat="1" ht="11.25">
      <c r="A29" s="12" t="str">
        <f>Pista!A28</f>
        <v>1.6.2</v>
      </c>
      <c r="B29" s="103" t="str">
        <f>Pista!C28</f>
        <v>Forma de madeira</v>
      </c>
      <c r="C29" s="103"/>
      <c r="D29" s="13" t="s">
        <v>0</v>
      </c>
      <c r="E29" s="18">
        <v>51.2</v>
      </c>
      <c r="F29" s="19">
        <v>51.2</v>
      </c>
    </row>
    <row r="30" spans="1:6" s="8" customFormat="1" ht="11.25">
      <c r="A30" s="12" t="str">
        <f>Pista!A29</f>
        <v>1.6.3</v>
      </c>
      <c r="B30" s="103" t="str">
        <f>Pista!C29</f>
        <v>Aço CA 50/60</v>
      </c>
      <c r="C30" s="103"/>
      <c r="D30" s="13" t="s">
        <v>11</v>
      </c>
      <c r="E30" s="18">
        <v>62.3</v>
      </c>
      <c r="F30" s="19">
        <v>62.3</v>
      </c>
    </row>
    <row r="31" spans="1:6" s="8" customFormat="1" ht="11.25">
      <c r="A31" s="12" t="str">
        <f>Pista!A30</f>
        <v>1.6.4</v>
      </c>
      <c r="B31" s="103" t="str">
        <f>Pista!C30</f>
        <v>Concreto magro</v>
      </c>
      <c r="C31" s="103"/>
      <c r="D31" s="13" t="s">
        <v>9</v>
      </c>
      <c r="E31" s="18">
        <v>0.35</v>
      </c>
      <c r="F31" s="19">
        <v>0.35</v>
      </c>
    </row>
    <row r="32" spans="1:6" s="8" customFormat="1" ht="11.25">
      <c r="A32" s="12" t="str">
        <f>Pista!A31</f>
        <v>1.6.5</v>
      </c>
      <c r="B32" s="103" t="str">
        <f>Pista!C31</f>
        <v>Concreto estrutural fck=20 MPA</v>
      </c>
      <c r="C32" s="103"/>
      <c r="D32" s="13" t="s">
        <v>9</v>
      </c>
      <c r="E32" s="18">
        <v>3.69</v>
      </c>
      <c r="F32" s="19">
        <v>3.69</v>
      </c>
    </row>
    <row r="33" spans="1:6" s="8" customFormat="1" ht="11.25">
      <c r="A33" s="12" t="str">
        <f>Pista!A32</f>
        <v>1.6.6</v>
      </c>
      <c r="B33" s="103" t="str">
        <f>Pista!C32</f>
        <v>Alvenaria tijolo cerâmico furado  010</v>
      </c>
      <c r="C33" s="103"/>
      <c r="D33" s="13" t="s">
        <v>0</v>
      </c>
      <c r="E33" s="18">
        <v>6</v>
      </c>
      <c r="F33" s="19">
        <v>6</v>
      </c>
    </row>
    <row r="34" spans="1:6" s="8" customFormat="1" ht="11.25">
      <c r="A34" s="12" t="str">
        <f>Pista!A33</f>
        <v>1.6.7</v>
      </c>
      <c r="B34" s="103" t="str">
        <f>Pista!C33</f>
        <v>Chapisco</v>
      </c>
      <c r="C34" s="103"/>
      <c r="D34" s="13" t="s">
        <v>0</v>
      </c>
      <c r="E34" s="18">
        <v>44</v>
      </c>
      <c r="F34" s="19">
        <v>44</v>
      </c>
    </row>
    <row r="35" spans="1:6" s="8" customFormat="1" ht="11.25">
      <c r="A35" s="12" t="str">
        <f>Pista!A34</f>
        <v>1.6.8</v>
      </c>
      <c r="B35" s="103" t="str">
        <f>Pista!C34</f>
        <v>Reboco paulista</v>
      </c>
      <c r="C35" s="103"/>
      <c r="D35" s="13" t="s">
        <v>0</v>
      </c>
      <c r="E35" s="18">
        <v>44</v>
      </c>
      <c r="F35" s="19">
        <v>44</v>
      </c>
    </row>
    <row r="36" spans="1:6" s="8" customFormat="1" ht="11.25">
      <c r="A36" s="12" t="str">
        <f>Pista!A35</f>
        <v>1.6.9</v>
      </c>
      <c r="B36" s="103" t="str">
        <f>Pista!C35</f>
        <v>Ponto de luz</v>
      </c>
      <c r="C36" s="103"/>
      <c r="D36" s="13" t="s">
        <v>21</v>
      </c>
      <c r="E36" s="18">
        <v>3</v>
      </c>
      <c r="F36" s="19">
        <v>3</v>
      </c>
    </row>
    <row r="37" spans="1:6" s="8" customFormat="1" ht="11.25">
      <c r="A37" s="12" t="str">
        <f>Pista!A36</f>
        <v>1.6.10</v>
      </c>
      <c r="B37" s="103" t="str">
        <f>Pista!C36</f>
        <v>Portão metálico 80 x 150 cm</v>
      </c>
      <c r="C37" s="103"/>
      <c r="D37" s="13" t="s">
        <v>0</v>
      </c>
      <c r="E37" s="18">
        <v>1.2</v>
      </c>
      <c r="F37" s="19">
        <v>1.2</v>
      </c>
    </row>
    <row r="38" spans="1:6" s="8" customFormat="1" ht="11.25">
      <c r="A38" s="12" t="str">
        <f>Pista!A37</f>
        <v>1.6.11</v>
      </c>
      <c r="B38" s="103" t="str">
        <f>Pista!C37</f>
        <v>Ponto de água</v>
      </c>
      <c r="C38" s="103"/>
      <c r="D38" s="13" t="s">
        <v>21</v>
      </c>
      <c r="E38" s="18">
        <v>5</v>
      </c>
      <c r="F38" s="19">
        <v>5</v>
      </c>
    </row>
    <row r="39" spans="1:6" s="8" customFormat="1" ht="11.25">
      <c r="A39" s="12" t="str">
        <f>Pista!A39</f>
        <v>1.6.12</v>
      </c>
      <c r="B39" s="103" t="str">
        <f>Pista!C39</f>
        <v>Pintura acrilica 2 demãos </v>
      </c>
      <c r="C39" s="103"/>
      <c r="D39" s="13" t="s">
        <v>0</v>
      </c>
      <c r="E39" s="18">
        <v>14</v>
      </c>
      <c r="F39" s="19">
        <v>14</v>
      </c>
    </row>
    <row r="40" spans="1:6" s="8" customFormat="1" ht="11.25">
      <c r="A40" s="12" t="str">
        <f>Pista!A40</f>
        <v>1.6.13</v>
      </c>
      <c r="B40" s="103" t="str">
        <f>Pista!C40</f>
        <v>Pintura  esmalte 2 demãos</v>
      </c>
      <c r="C40" s="103"/>
      <c r="D40" s="13" t="s">
        <v>0</v>
      </c>
      <c r="E40" s="18">
        <v>6.4</v>
      </c>
      <c r="F40" s="19">
        <v>6.4</v>
      </c>
    </row>
    <row r="41" spans="1:6" s="8" customFormat="1" ht="11.25">
      <c r="A41" s="12" t="str">
        <f>Pista!A41</f>
        <v>1.7</v>
      </c>
      <c r="B41" s="107" t="s">
        <v>34</v>
      </c>
      <c r="C41" s="107"/>
      <c r="D41" s="13"/>
      <c r="E41" s="35"/>
      <c r="F41" s="19"/>
    </row>
    <row r="42" spans="1:6" s="8" customFormat="1" ht="11.25">
      <c r="A42" s="12" t="str">
        <f>Pista!A42</f>
        <v>1.7.1</v>
      </c>
      <c r="B42" s="103" t="str">
        <f>Pista!C42</f>
        <v>Locação</v>
      </c>
      <c r="C42" s="103"/>
      <c r="D42" s="13" t="str">
        <f>Pista!D42</f>
        <v>m²</v>
      </c>
      <c r="E42" s="15" t="s">
        <v>92</v>
      </c>
      <c r="F42" s="19">
        <f>10*29.72</f>
        <v>297.2</v>
      </c>
    </row>
    <row r="43" spans="1:6" s="8" customFormat="1" ht="11.25">
      <c r="A43" s="12" t="str">
        <f>Pista!A43</f>
        <v>1.7.2</v>
      </c>
      <c r="B43" s="103" t="str">
        <f>Pista!C43</f>
        <v>Proj. complementares(estrut.,instalações)</v>
      </c>
      <c r="C43" s="103"/>
      <c r="D43" s="13" t="str">
        <f>Pista!D43</f>
        <v>m²</v>
      </c>
      <c r="E43" s="15" t="s">
        <v>93</v>
      </c>
      <c r="F43" s="19">
        <f>10*29.72*2</f>
        <v>594.4</v>
      </c>
    </row>
    <row r="44" spans="1:6" s="8" customFormat="1" ht="11.25">
      <c r="A44" s="12" t="str">
        <f>Pista!A44</f>
        <v>1.7.3</v>
      </c>
      <c r="B44" s="103" t="str">
        <f>Pista!C44</f>
        <v>Escavação manual</v>
      </c>
      <c r="C44" s="103"/>
      <c r="D44" s="13" t="s">
        <v>0</v>
      </c>
      <c r="E44" s="15" t="s">
        <v>94</v>
      </c>
      <c r="F44" s="19">
        <f>36*(1*1*1)+((29.72*4)+(9*10)+(2*2))*0.2*0.3</f>
        <v>48.772800000000004</v>
      </c>
    </row>
    <row r="45" spans="1:6" s="8" customFormat="1" ht="11.25">
      <c r="A45" s="12" t="str">
        <f>Pista!A45</f>
        <v>1.7.4</v>
      </c>
      <c r="B45" s="103" t="str">
        <f>Pista!C45</f>
        <v>Nivelamento/compactação fundo de vala</v>
      </c>
      <c r="C45" s="103"/>
      <c r="D45" s="13" t="s">
        <v>0</v>
      </c>
      <c r="E45" s="15" t="s">
        <v>95</v>
      </c>
      <c r="F45" s="19">
        <f>36*(1*1)+((29.72*4)+(9*10)+(2*2))*0.2</f>
        <v>78.576</v>
      </c>
    </row>
    <row r="46" spans="1:6" s="8" customFormat="1" ht="11.25">
      <c r="A46" s="12" t="str">
        <f>Pista!A46</f>
        <v>1.7.5</v>
      </c>
      <c r="B46" s="103" t="str">
        <f>Pista!C46</f>
        <v>Concreto estrutural fck=20 MPA</v>
      </c>
      <c r="C46" s="103"/>
      <c r="D46" s="13" t="s">
        <v>9</v>
      </c>
      <c r="E46" s="15" t="s">
        <v>96</v>
      </c>
      <c r="F46" s="19">
        <f>36*(1*1*0.5)+((29.72*4)+(9*10)+(2*2))*0.2*0.3</f>
        <v>30.7728</v>
      </c>
    </row>
    <row r="47" spans="1:6" s="8" customFormat="1" ht="11.25">
      <c r="A47" s="41" t="str">
        <f>Pista!A47</f>
        <v>1.7.6</v>
      </c>
      <c r="B47" s="108" t="str">
        <f>Pista!C47</f>
        <v>Forma de madeira</v>
      </c>
      <c r="C47" s="108"/>
      <c r="D47" s="43" t="s">
        <v>0</v>
      </c>
      <c r="E47" s="44" t="s">
        <v>97</v>
      </c>
      <c r="F47" s="94">
        <f>36*((0.2*4*0.5)+(0.8*0.8))</f>
        <v>37.44</v>
      </c>
    </row>
    <row r="48" spans="1:6" s="8" customFormat="1" ht="11.25">
      <c r="A48" s="95" t="str">
        <f>Pista!A48</f>
        <v>1.7.7</v>
      </c>
      <c r="B48" s="106" t="str">
        <f>Pista!C48</f>
        <v>Aço CA 50/60</v>
      </c>
      <c r="C48" s="106"/>
      <c r="D48" s="51" t="s">
        <v>11</v>
      </c>
      <c r="E48" s="54" t="s">
        <v>98</v>
      </c>
      <c r="F48" s="96">
        <f>(36*(1*1*0.5)+((29.72*4)+(9*10)+(2*2))*0.2*0.3)*40</f>
        <v>1230.912</v>
      </c>
    </row>
    <row r="49" spans="1:6" s="8" customFormat="1" ht="11.25">
      <c r="A49" s="12" t="str">
        <f>Pista!A49</f>
        <v>1.7.8</v>
      </c>
      <c r="B49" s="103" t="str">
        <f>Pista!C49</f>
        <v>Reaterro compactado</v>
      </c>
      <c r="C49" s="103"/>
      <c r="D49" s="13" t="s">
        <v>9</v>
      </c>
      <c r="E49" s="15" t="s">
        <v>99</v>
      </c>
      <c r="F49" s="19">
        <f>(36*1*1*0.5)+(10*29.72*0.1)</f>
        <v>47.72</v>
      </c>
    </row>
    <row r="50" spans="1:6" s="8" customFormat="1" ht="11.25">
      <c r="A50" s="12" t="str">
        <f>Pista!A50</f>
        <v>1.7.9</v>
      </c>
      <c r="B50" s="103" t="str">
        <f>Pista!C50</f>
        <v>Contra piso - 5 cm</v>
      </c>
      <c r="C50" s="103"/>
      <c r="D50" s="13" t="s">
        <v>0</v>
      </c>
      <c r="E50" s="15" t="s">
        <v>92</v>
      </c>
      <c r="F50" s="19">
        <f>10*29.72</f>
        <v>297.2</v>
      </c>
    </row>
    <row r="51" spans="1:6" s="8" customFormat="1" ht="11.25">
      <c r="A51" s="12" t="str">
        <f>Pista!A51</f>
        <v>1.7.10</v>
      </c>
      <c r="B51" s="103" t="str">
        <f>Pista!C51</f>
        <v>Alvenaria tijolo cerâmico furado  010</v>
      </c>
      <c r="C51" s="103"/>
      <c r="D51" s="13" t="s">
        <v>0</v>
      </c>
      <c r="E51" s="15" t="s">
        <v>109</v>
      </c>
      <c r="F51" s="19">
        <f>(9*5.6)*2+(10+4+3+10+1.2+1)*4.5+(10*2.5/2)+(2*20.72*5.6/2)+(8.5*4.582)+(2.85*5.6)+(3.35*4.5)+2*(1.7*4.5)+(1.5+2.93)*2*1.2</f>
        <v>456.64599999999996</v>
      </c>
    </row>
    <row r="52" spans="1:6" s="8" customFormat="1" ht="11.25">
      <c r="A52" s="12" t="str">
        <f>Pista!A52</f>
        <v>1.7.11</v>
      </c>
      <c r="B52" s="103" t="str">
        <f>Pista!C52</f>
        <v>Forma de madeira</v>
      </c>
      <c r="C52" s="103"/>
      <c r="D52" s="13" t="s">
        <v>0</v>
      </c>
      <c r="E52" s="15" t="s">
        <v>100</v>
      </c>
      <c r="F52" s="19">
        <f>(36*0.8*8.5)+(215*0.8)*2</f>
        <v>588.8</v>
      </c>
    </row>
    <row r="53" spans="1:6" s="8" customFormat="1" ht="11.25">
      <c r="A53" s="12" t="str">
        <f>Pista!A53</f>
        <v>1.7.12</v>
      </c>
      <c r="B53" s="103" t="str">
        <f>Pista!C53</f>
        <v>Aço CA 50/60</v>
      </c>
      <c r="C53" s="103"/>
      <c r="D53" s="13" t="s">
        <v>11</v>
      </c>
      <c r="E53" s="15" t="s">
        <v>102</v>
      </c>
      <c r="F53" s="19">
        <f>((36*0.2*0.2*8.5)+(215*0.2*0.4))*80</f>
        <v>2355.2000000000003</v>
      </c>
    </row>
    <row r="54" spans="1:6" s="8" customFormat="1" ht="11.25">
      <c r="A54" s="12" t="str">
        <f>Pista!A54</f>
        <v>1.7.13</v>
      </c>
      <c r="B54" s="103" t="str">
        <f>Pista!C54</f>
        <v>Concreto estrutural fck=20 MPA</v>
      </c>
      <c r="C54" s="103"/>
      <c r="D54" s="13" t="s">
        <v>9</v>
      </c>
      <c r="E54" s="15" t="s">
        <v>101</v>
      </c>
      <c r="F54" s="19">
        <f>(36*0.2*0.2*8.5)+(215*0.2*0.4)</f>
        <v>29.44</v>
      </c>
    </row>
    <row r="55" spans="1:6" s="8" customFormat="1" ht="11.25">
      <c r="A55" s="12" t="str">
        <f>Pista!A55</f>
        <v>1.7.14</v>
      </c>
      <c r="B55" s="103" t="str">
        <f>Pista!C55</f>
        <v>Laje pré moldada p/piso</v>
      </c>
      <c r="C55" s="103"/>
      <c r="D55" s="13" t="s">
        <v>0</v>
      </c>
      <c r="E55" s="15" t="s">
        <v>103</v>
      </c>
      <c r="F55" s="19">
        <f>(22.39+7+13.5)*10+(2*10)*4+(2.93*1.5)+(3.95+4)*1.5</f>
        <v>525.2199999999999</v>
      </c>
    </row>
    <row r="56" spans="1:6" s="8" customFormat="1" ht="11.25">
      <c r="A56" s="12" t="str">
        <f>Pista!A56</f>
        <v>1.7.15</v>
      </c>
      <c r="B56" s="103" t="str">
        <f>Pista!C56</f>
        <v>Impermeabilização de laje c/manta 4 mm</v>
      </c>
      <c r="C56" s="103"/>
      <c r="D56" s="13" t="s">
        <v>0</v>
      </c>
      <c r="E56" s="15" t="s">
        <v>230</v>
      </c>
      <c r="F56" s="19">
        <f>(9.13+7)*10+(2*10)*2</f>
        <v>201.3</v>
      </c>
    </row>
    <row r="57" spans="1:6" s="8" customFormat="1" ht="11.25">
      <c r="A57" s="12" t="str">
        <f>Pista!A57</f>
        <v>1.7.16</v>
      </c>
      <c r="B57" s="103" t="str">
        <f>Pista!C57</f>
        <v>Porta metálica </v>
      </c>
      <c r="C57" s="103"/>
      <c r="D57" s="13" t="s">
        <v>0</v>
      </c>
      <c r="E57" s="15" t="s">
        <v>104</v>
      </c>
      <c r="F57" s="19">
        <f>11*0.8*2.1</f>
        <v>18.480000000000004</v>
      </c>
    </row>
    <row r="58" spans="1:6" s="8" customFormat="1" ht="11.25">
      <c r="A58" s="12" t="str">
        <f>Pista!A58</f>
        <v>1.7.17</v>
      </c>
      <c r="B58" s="103" t="str">
        <f>Pista!C58</f>
        <v>Janela metálica</v>
      </c>
      <c r="C58" s="103"/>
      <c r="D58" s="13" t="s">
        <v>0</v>
      </c>
      <c r="E58" s="15" t="s">
        <v>105</v>
      </c>
      <c r="F58" s="19">
        <f>(3*0.6*0.6)+(6*1.5*1)+(7*1.5*0.4)</f>
        <v>14.280000000000001</v>
      </c>
    </row>
    <row r="59" spans="1:6" s="8" customFormat="1" ht="11.25">
      <c r="A59" s="12" t="str">
        <f>Pista!A59</f>
        <v>1.7.18</v>
      </c>
      <c r="B59" s="103" t="str">
        <f>Pista!C59</f>
        <v>Vidro 4 mm</v>
      </c>
      <c r="C59" s="103"/>
      <c r="D59" s="13" t="s">
        <v>0</v>
      </c>
      <c r="E59" s="15" t="s">
        <v>105</v>
      </c>
      <c r="F59" s="19">
        <f>(3*0.6*0.6)+(6*1.5*1)+(7*1.5*0.4)</f>
        <v>14.280000000000001</v>
      </c>
    </row>
    <row r="60" spans="1:6" s="8" customFormat="1" ht="11.25">
      <c r="A60" s="12" t="str">
        <f>Pista!A60</f>
        <v>1.7.19</v>
      </c>
      <c r="B60" s="103" t="str">
        <f>Pista!C60</f>
        <v>ponto de água/esgoto</v>
      </c>
      <c r="C60" s="103"/>
      <c r="D60" s="13" t="s">
        <v>21</v>
      </c>
      <c r="E60" s="15" t="s">
        <v>106</v>
      </c>
      <c r="F60" s="19">
        <f>6+6+20+16+6</f>
        <v>54</v>
      </c>
    </row>
    <row r="61" spans="1:6" s="8" customFormat="1" ht="11.25">
      <c r="A61" s="12" t="str">
        <f>Pista!A61</f>
        <v>1.7.20</v>
      </c>
      <c r="B61" s="103" t="str">
        <f>Pista!C61</f>
        <v>ponto de luz</v>
      </c>
      <c r="C61" s="103"/>
      <c r="D61" s="13" t="s">
        <v>21</v>
      </c>
      <c r="E61" s="15" t="s">
        <v>107</v>
      </c>
      <c r="F61" s="16">
        <v>61</v>
      </c>
    </row>
    <row r="62" spans="1:6" s="8" customFormat="1" ht="11.25">
      <c r="A62" s="12" t="str">
        <f>Pista!A62</f>
        <v>1.7.21</v>
      </c>
      <c r="B62" s="103" t="str">
        <f>Pista!C62</f>
        <v>Chapisco</v>
      </c>
      <c r="C62" s="103"/>
      <c r="D62" s="13" t="s">
        <v>0</v>
      </c>
      <c r="E62" s="15" t="s">
        <v>110</v>
      </c>
      <c r="F62" s="19">
        <f>456.65*2</f>
        <v>913.3</v>
      </c>
    </row>
    <row r="63" spans="1:6" s="8" customFormat="1" ht="11.25">
      <c r="A63" s="12" t="str">
        <f>Pista!A63</f>
        <v>1.7.22</v>
      </c>
      <c r="B63" s="103" t="str">
        <f>Pista!C63</f>
        <v>Reboco paulista</v>
      </c>
      <c r="C63" s="103"/>
      <c r="D63" s="13" t="s">
        <v>0</v>
      </c>
      <c r="E63" s="15" t="s">
        <v>110</v>
      </c>
      <c r="F63" s="19">
        <f>456.65*2</f>
        <v>913.3</v>
      </c>
    </row>
    <row r="64" spans="1:6" s="8" customFormat="1" ht="11.25">
      <c r="A64" s="12" t="str">
        <f>Pista!A64</f>
        <v>1.7.23</v>
      </c>
      <c r="B64" s="103" t="str">
        <f>Pista!C64</f>
        <v>Cerâmica 20x20</v>
      </c>
      <c r="C64" s="103"/>
      <c r="D64" s="13" t="s">
        <v>0</v>
      </c>
      <c r="E64" s="15" t="s">
        <v>108</v>
      </c>
      <c r="F64" s="19">
        <f>(2+1.2+1.7+2.55+3.9+3.35+4.43+3.35)*2*2</f>
        <v>89.92</v>
      </c>
    </row>
    <row r="65" spans="1:6" s="8" customFormat="1" ht="11.25">
      <c r="A65" s="12" t="str">
        <f>Pista!A65</f>
        <v>1.7.24</v>
      </c>
      <c r="B65" s="103" t="str">
        <f>Pista!C65</f>
        <v>Piso cimentado liso queimado</v>
      </c>
      <c r="C65" s="103"/>
      <c r="D65" s="13" t="s">
        <v>0</v>
      </c>
      <c r="E65" s="15" t="s">
        <v>111</v>
      </c>
      <c r="F65" s="19">
        <f>(29.72+13.2+7)*10+(2*10*4)</f>
        <v>579.2</v>
      </c>
    </row>
    <row r="66" spans="1:6" s="8" customFormat="1" ht="11.25">
      <c r="A66" s="12" t="str">
        <f>Pista!A66</f>
        <v>1.7.25</v>
      </c>
      <c r="B66" s="103" t="str">
        <f>Pista!C66</f>
        <v>Calçada cimentada de proteção</v>
      </c>
      <c r="C66" s="103"/>
      <c r="D66" s="13" t="s">
        <v>0</v>
      </c>
      <c r="E66" s="15" t="s">
        <v>112</v>
      </c>
      <c r="F66" s="19">
        <f>((30.72*2)+10)*1</f>
        <v>71.44</v>
      </c>
    </row>
    <row r="67" spans="1:6" s="8" customFormat="1" ht="11.25">
      <c r="A67" s="12" t="str">
        <f>Pista!A68</f>
        <v>1.7.26</v>
      </c>
      <c r="B67" s="103" t="str">
        <f>Pista!C68</f>
        <v>Pintura acrilica 2 demãos + selador</v>
      </c>
      <c r="C67" s="103"/>
      <c r="D67" s="13" t="s">
        <v>0</v>
      </c>
      <c r="E67" s="15" t="s">
        <v>113</v>
      </c>
      <c r="F67" s="19">
        <f>456.65*2-89.92</f>
        <v>823.38</v>
      </c>
    </row>
    <row r="68" spans="1:6" s="8" customFormat="1" ht="11.25">
      <c r="A68" s="12" t="str">
        <f>Pista!A69</f>
        <v>1.7.27</v>
      </c>
      <c r="B68" s="103" t="str">
        <f>Pista!C69</f>
        <v>Pintura em tinta esmalte</v>
      </c>
      <c r="C68" s="103"/>
      <c r="D68" s="13" t="s">
        <v>0</v>
      </c>
      <c r="E68" s="15" t="s">
        <v>114</v>
      </c>
      <c r="F68" s="19">
        <f>(18.48+14.28)*2</f>
        <v>65.52</v>
      </c>
    </row>
    <row r="69" spans="1:6" s="8" customFormat="1" ht="11.25">
      <c r="A69" s="12" t="str">
        <f>Pista!A70</f>
        <v>1.7.28</v>
      </c>
      <c r="B69" s="103" t="str">
        <f>Pista!C70</f>
        <v>Vaso sanitário c/caixa acoplada</v>
      </c>
      <c r="C69" s="103"/>
      <c r="D69" s="13" t="s">
        <v>29</v>
      </c>
      <c r="E69" s="18">
        <v>8</v>
      </c>
      <c r="F69" s="19">
        <v>8</v>
      </c>
    </row>
    <row r="70" spans="1:6" s="8" customFormat="1" ht="11.25">
      <c r="A70" s="12" t="str">
        <f>Pista!A71</f>
        <v>1.7.29</v>
      </c>
      <c r="B70" s="103" t="str">
        <f>Pista!C71</f>
        <v>Mictório de louça</v>
      </c>
      <c r="C70" s="103"/>
      <c r="D70" s="13" t="s">
        <v>29</v>
      </c>
      <c r="E70" s="18">
        <v>5</v>
      </c>
      <c r="F70" s="19">
        <v>5</v>
      </c>
    </row>
    <row r="71" spans="1:6" s="8" customFormat="1" ht="11.25">
      <c r="A71" s="12" t="str">
        <f>Pista!A72</f>
        <v>1.7.30</v>
      </c>
      <c r="B71" s="103" t="str">
        <f>Pista!C72</f>
        <v>Lavatório de louça c/coluna</v>
      </c>
      <c r="C71" s="103"/>
      <c r="D71" s="13" t="s">
        <v>29</v>
      </c>
      <c r="E71" s="18">
        <v>7</v>
      </c>
      <c r="F71" s="19">
        <v>7</v>
      </c>
    </row>
    <row r="72" spans="1:6" s="8" customFormat="1" ht="11.25">
      <c r="A72" s="12" t="str">
        <f>Pista!A73</f>
        <v>1.7.31</v>
      </c>
      <c r="B72" s="103" t="str">
        <f>Pista!C73</f>
        <v>Caixa d'Água 1.000 litros</v>
      </c>
      <c r="C72" s="103"/>
      <c r="D72" s="13" t="s">
        <v>29</v>
      </c>
      <c r="E72" s="18">
        <v>1</v>
      </c>
      <c r="F72" s="19">
        <v>1</v>
      </c>
    </row>
    <row r="73" spans="1:6" s="8" customFormat="1" ht="11.25">
      <c r="A73" s="12" t="str">
        <f>Pista!A74</f>
        <v>1.7.32</v>
      </c>
      <c r="B73" s="103" t="str">
        <f>Pista!C74</f>
        <v>Guarda corpo c/corrimão tubular</v>
      </c>
      <c r="C73" s="103"/>
      <c r="D73" s="13" t="s">
        <v>8</v>
      </c>
      <c r="E73" s="18" t="s">
        <v>115</v>
      </c>
      <c r="F73" s="19">
        <f>(4*9*2)+1.5+7.95+(2*22.39)+9+6.6+8+2</f>
        <v>151.83</v>
      </c>
    </row>
    <row r="74" spans="1:6" s="8" customFormat="1" ht="11.25">
      <c r="A74" s="12" t="str">
        <f>Pista!A75</f>
        <v>1.7.33</v>
      </c>
      <c r="B74" s="103" t="str">
        <f>Pista!C75</f>
        <v>Quadro de avisos (cimentado liso queimado)</v>
      </c>
      <c r="C74" s="103"/>
      <c r="D74" s="13" t="s">
        <v>0</v>
      </c>
      <c r="E74" s="18" t="s">
        <v>116</v>
      </c>
      <c r="F74" s="19">
        <f>3.5*2</f>
        <v>7</v>
      </c>
    </row>
    <row r="75" spans="1:6" s="8" customFormat="1" ht="11.25">
      <c r="A75" s="12" t="str">
        <f>Pista!A76</f>
        <v>1.7.34</v>
      </c>
      <c r="B75" s="103" t="str">
        <f>Pista!C76</f>
        <v>bancada de ardósia 250 x 50 cm</v>
      </c>
      <c r="C75" s="103"/>
      <c r="D75" s="13" t="s">
        <v>0</v>
      </c>
      <c r="E75" s="18">
        <v>2.5</v>
      </c>
      <c r="F75" s="19">
        <v>2.5</v>
      </c>
    </row>
    <row r="76" spans="1:6" s="8" customFormat="1" ht="11.25">
      <c r="A76" s="12" t="str">
        <f>Pista!A77</f>
        <v>1.14</v>
      </c>
      <c r="B76" s="107" t="s">
        <v>53</v>
      </c>
      <c r="C76" s="107"/>
      <c r="D76" s="13"/>
      <c r="E76" s="15"/>
      <c r="F76" s="16"/>
    </row>
    <row r="77" spans="1:6" s="8" customFormat="1" ht="11.25">
      <c r="A77" s="41" t="str">
        <f>Pista!A78</f>
        <v>1.14.1</v>
      </c>
      <c r="B77" s="108" t="str">
        <f>Pista!C78</f>
        <v>Fornec/Assent. Padrão trifásico de 100A</v>
      </c>
      <c r="C77" s="108"/>
      <c r="D77" s="43" t="s">
        <v>29</v>
      </c>
      <c r="E77" s="55">
        <v>1</v>
      </c>
      <c r="F77" s="46">
        <v>1</v>
      </c>
    </row>
    <row r="80" spans="1:3" ht="12.75">
      <c r="A80" s="104" t="s">
        <v>158</v>
      </c>
      <c r="B80" s="104"/>
      <c r="C80" s="104"/>
    </row>
    <row r="81" spans="1:9" ht="12.75">
      <c r="A81" s="105" t="s">
        <v>159</v>
      </c>
      <c r="B81" s="105"/>
      <c r="C81" s="105"/>
      <c r="I81" s="21"/>
    </row>
  </sheetData>
  <sheetProtection/>
  <mergeCells count="77">
    <mergeCell ref="B19:C19"/>
    <mergeCell ref="B20:C20"/>
    <mergeCell ref="B21:C21"/>
    <mergeCell ref="B22:C22"/>
    <mergeCell ref="B23:C23"/>
    <mergeCell ref="D3:F3"/>
    <mergeCell ref="B11:C11"/>
    <mergeCell ref="B13:C13"/>
    <mergeCell ref="B15:C15"/>
    <mergeCell ref="B16:C16"/>
    <mergeCell ref="B17:C17"/>
    <mergeCell ref="B18:C18"/>
    <mergeCell ref="B10:C10"/>
    <mergeCell ref="B9:C9"/>
    <mergeCell ref="A6:F6"/>
    <mergeCell ref="B7:C7"/>
    <mergeCell ref="A8:F8"/>
    <mergeCell ref="A1:F1"/>
    <mergeCell ref="A3:B3"/>
    <mergeCell ref="A4:F4"/>
    <mergeCell ref="A5:B5"/>
    <mergeCell ref="B39:C39"/>
    <mergeCell ref="B24:C24"/>
    <mergeCell ref="B27:C27"/>
    <mergeCell ref="B28:C28"/>
    <mergeCell ref="B29:C29"/>
    <mergeCell ref="B30:C30"/>
    <mergeCell ref="B31:C31"/>
    <mergeCell ref="B25:C25"/>
    <mergeCell ref="B26:C26"/>
    <mergeCell ref="B44:C44"/>
    <mergeCell ref="B45:C45"/>
    <mergeCell ref="B32:C32"/>
    <mergeCell ref="B33:C33"/>
    <mergeCell ref="B34:C34"/>
    <mergeCell ref="B35:C35"/>
    <mergeCell ref="B43:C43"/>
    <mergeCell ref="B36:C36"/>
    <mergeCell ref="B37:C37"/>
    <mergeCell ref="B38:C38"/>
    <mergeCell ref="B56:C56"/>
    <mergeCell ref="B57:C57"/>
    <mergeCell ref="B40:C40"/>
    <mergeCell ref="B48:C48"/>
    <mergeCell ref="B49:C49"/>
    <mergeCell ref="B50:C50"/>
    <mergeCell ref="B51:C51"/>
    <mergeCell ref="B52:C52"/>
    <mergeCell ref="B41:C41"/>
    <mergeCell ref="B42:C42"/>
    <mergeCell ref="B46:C46"/>
    <mergeCell ref="B53:C53"/>
    <mergeCell ref="B54:C54"/>
    <mergeCell ref="B55:C55"/>
    <mergeCell ref="B47:C47"/>
    <mergeCell ref="B71:C71"/>
    <mergeCell ref="B59:C59"/>
    <mergeCell ref="B60:C60"/>
    <mergeCell ref="B61:C61"/>
    <mergeCell ref="B62:C62"/>
    <mergeCell ref="B63:C63"/>
    <mergeCell ref="B64:C64"/>
    <mergeCell ref="B70:C70"/>
    <mergeCell ref="B65:C65"/>
    <mergeCell ref="B66:C66"/>
    <mergeCell ref="A80:C80"/>
    <mergeCell ref="A81:C81"/>
    <mergeCell ref="B72:C72"/>
    <mergeCell ref="B73:C73"/>
    <mergeCell ref="B74:C74"/>
    <mergeCell ref="B75:C75"/>
    <mergeCell ref="B77:C77"/>
    <mergeCell ref="B76:C76"/>
    <mergeCell ref="B67:C67"/>
    <mergeCell ref="B68:C68"/>
    <mergeCell ref="B69:C69"/>
    <mergeCell ref="B58:C58"/>
  </mergeCells>
  <printOptions/>
  <pageMargins left="0.5118110236220472" right="0.5118110236220472" top="0.3937007874015748" bottom="0.3937007874015748" header="0.31496062992125984" footer="0.1968503937007874"/>
  <pageSetup horizontalDpi="600" verticalDpi="600" orientation="landscape" paperSize="9" r:id="rId1"/>
  <headerFooter alignWithMargins="0">
    <oddFooter>&amp;R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108</cp:lastModifiedBy>
  <cp:lastPrinted>2013-08-21T12:59:57Z</cp:lastPrinted>
  <dcterms:created xsi:type="dcterms:W3CDTF">2004-05-09T08:29:18Z</dcterms:created>
  <dcterms:modified xsi:type="dcterms:W3CDTF">2013-08-22T20:06:26Z</dcterms:modified>
  <cp:category/>
  <cp:version/>
  <cp:contentType/>
  <cp:contentStatus/>
</cp:coreProperties>
</file>